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div\gsv32f\DIVULGACIÓN\Publicaciones WEB\Herramientas preventivas\"/>
    </mc:Choice>
  </mc:AlternateContent>
  <bookViews>
    <workbookView xWindow="360" yWindow="30" windowWidth="11595" windowHeight="9210"/>
  </bookViews>
  <sheets>
    <sheet name="INTRODUCCIÓN" sheetId="4" r:id="rId1"/>
    <sheet name="HOJA DE DATOS" sheetId="1" r:id="rId2"/>
    <sheet name="RESULTADOS" sheetId="2" r:id="rId3"/>
    <sheet name="EJEMPLO DE APLICACIÓN" sheetId="3" r:id="rId4"/>
  </sheets>
  <calcPr calcId="152511"/>
</workbook>
</file>

<file path=xl/calcChain.xml><?xml version="1.0" encoding="utf-8"?>
<calcChain xmlns="http://schemas.openxmlformats.org/spreadsheetml/2006/main">
  <c r="N11" i="1" l="1"/>
  <c r="N12" i="1"/>
  <c r="N14" i="1" s="1"/>
  <c r="B7" i="2"/>
  <c r="N27" i="1"/>
  <c r="N28" i="1"/>
  <c r="N30" i="1" s="1"/>
  <c r="O30" i="1"/>
  <c r="Q30" i="1"/>
  <c r="S30" i="1"/>
  <c r="O31" i="1"/>
  <c r="Q31" i="1"/>
  <c r="S31" i="1"/>
  <c r="O32" i="1"/>
  <c r="Q32" i="1"/>
  <c r="S32" i="1"/>
  <c r="O33" i="1"/>
  <c r="Q33" i="1"/>
  <c r="S33" i="1"/>
  <c r="O34" i="1"/>
  <c r="Q34" i="1"/>
  <c r="S34" i="1"/>
  <c r="O35" i="1"/>
  <c r="Q35" i="1"/>
  <c r="S35" i="1"/>
  <c r="O36" i="1"/>
  <c r="Q36" i="1"/>
  <c r="S36" i="1"/>
  <c r="O37" i="1"/>
  <c r="Q37" i="1"/>
  <c r="S37" i="1"/>
  <c r="O38" i="1"/>
  <c r="Q38" i="1"/>
  <c r="S38" i="1"/>
  <c r="O39" i="1"/>
  <c r="Q39" i="1"/>
  <c r="S39" i="1"/>
  <c r="O40" i="1"/>
  <c r="Q40" i="1"/>
  <c r="S40" i="1"/>
  <c r="O41" i="1"/>
  <c r="Q41" i="1"/>
  <c r="S41" i="1"/>
  <c r="O42" i="1"/>
  <c r="Q42" i="1"/>
  <c r="S42" i="1"/>
  <c r="O43" i="1"/>
  <c r="Q43" i="1"/>
  <c r="S43" i="1"/>
  <c r="O44" i="1"/>
  <c r="Q44" i="1"/>
  <c r="S44" i="1"/>
  <c r="O45" i="1"/>
  <c r="Q45" i="1"/>
  <c r="S45" i="1"/>
  <c r="O46" i="1"/>
  <c r="Q46" i="1"/>
  <c r="S46" i="1"/>
  <c r="O47" i="1"/>
  <c r="Q47" i="1"/>
  <c r="S47" i="1"/>
  <c r="N20" i="1"/>
  <c r="N21" i="1"/>
  <c r="O20" i="1"/>
  <c r="N85" i="1" s="1"/>
  <c r="N88" i="1" s="1"/>
  <c r="N13" i="1"/>
  <c r="N71" i="1"/>
  <c r="N73" i="1"/>
  <c r="O73" i="1"/>
  <c r="N74" i="1"/>
  <c r="O74" i="1"/>
  <c r="N75" i="1"/>
  <c r="O75" i="1"/>
  <c r="O76" i="1"/>
  <c r="N91" i="1"/>
  <c r="O27" i="1"/>
  <c r="O28" i="1" s="1"/>
  <c r="R56" i="1"/>
  <c r="P57" i="1"/>
  <c r="N58" i="1"/>
  <c r="R58" i="1"/>
  <c r="P59" i="1"/>
  <c r="N60" i="1"/>
  <c r="R60" i="1"/>
  <c r="P61" i="1"/>
  <c r="N62" i="1"/>
  <c r="R62" i="1"/>
  <c r="P63" i="1"/>
  <c r="N64" i="1"/>
  <c r="R64" i="1"/>
  <c r="P65" i="1"/>
  <c r="N66" i="1"/>
  <c r="R66" i="1"/>
  <c r="O11" i="1"/>
  <c r="O12" i="1"/>
  <c r="O13" i="1"/>
  <c r="O14" i="1"/>
  <c r="O17" i="1"/>
  <c r="O71" i="1"/>
  <c r="O78" i="1"/>
  <c r="O79" i="1"/>
  <c r="O80" i="1"/>
  <c r="O85" i="1"/>
  <c r="O88" i="1" s="1"/>
  <c r="N92" i="1"/>
  <c r="N24" i="1"/>
  <c r="N17" i="1"/>
  <c r="O24" i="1"/>
  <c r="A30" i="2"/>
  <c r="B8" i="2"/>
  <c r="G30" i="2"/>
  <c r="G29" i="2"/>
  <c r="E12" i="2"/>
  <c r="E14" i="2"/>
  <c r="E13" i="2"/>
  <c r="E11" i="2"/>
  <c r="D14" i="2"/>
  <c r="D13" i="2"/>
  <c r="D12" i="2"/>
  <c r="D11" i="2"/>
  <c r="B6" i="2"/>
  <c r="B5" i="2"/>
  <c r="B4" i="2"/>
  <c r="O49" i="1" l="1"/>
  <c r="Q49" i="1"/>
  <c r="S49" i="1"/>
  <c r="O50" i="1"/>
  <c r="Q50" i="1"/>
  <c r="S50" i="1"/>
  <c r="O51" i="1"/>
  <c r="Q51" i="1"/>
  <c r="S51" i="1"/>
  <c r="O52" i="1"/>
  <c r="Q52" i="1"/>
  <c r="S52" i="1"/>
  <c r="O53" i="1"/>
  <c r="Q53" i="1"/>
  <c r="S53" i="1"/>
  <c r="O54" i="1"/>
  <c r="Q54" i="1"/>
  <c r="S54" i="1"/>
  <c r="O55" i="1"/>
  <c r="Q55" i="1"/>
  <c r="S55" i="1"/>
  <c r="O56" i="1"/>
  <c r="Q56" i="1"/>
  <c r="S56" i="1"/>
  <c r="O57" i="1"/>
  <c r="Q57" i="1"/>
  <c r="S57" i="1"/>
  <c r="O58" i="1"/>
  <c r="Q58" i="1"/>
  <c r="S58" i="1"/>
  <c r="O59" i="1"/>
  <c r="Q59" i="1"/>
  <c r="S59" i="1"/>
  <c r="O60" i="1"/>
  <c r="Q60" i="1"/>
  <c r="S60" i="1"/>
  <c r="O61" i="1"/>
  <c r="Q61" i="1"/>
  <c r="S61" i="1"/>
  <c r="O62" i="1"/>
  <c r="Q62" i="1"/>
  <c r="S62" i="1"/>
  <c r="O63" i="1"/>
  <c r="Q63" i="1"/>
  <c r="S63" i="1"/>
  <c r="O64" i="1"/>
  <c r="Q64" i="1"/>
  <c r="S64" i="1"/>
  <c r="O65" i="1"/>
  <c r="Q65" i="1"/>
  <c r="S65" i="1"/>
  <c r="O66" i="1"/>
  <c r="Q66" i="1"/>
  <c r="S66" i="1"/>
  <c r="N49" i="1"/>
  <c r="P49" i="1"/>
  <c r="R49" i="1"/>
  <c r="N50" i="1"/>
  <c r="P50" i="1"/>
  <c r="R50" i="1"/>
  <c r="N51" i="1"/>
  <c r="P51" i="1"/>
  <c r="R51" i="1"/>
  <c r="N52" i="1"/>
  <c r="P52" i="1"/>
  <c r="R52" i="1"/>
  <c r="N53" i="1"/>
  <c r="P53" i="1"/>
  <c r="R53" i="1"/>
  <c r="N54" i="1"/>
  <c r="P54" i="1"/>
  <c r="R54" i="1"/>
  <c r="N55" i="1"/>
  <c r="P55" i="1"/>
  <c r="R55" i="1"/>
  <c r="N56" i="1"/>
  <c r="N78" i="1"/>
  <c r="N79" i="1"/>
  <c r="N80" i="1"/>
  <c r="P66" i="1"/>
  <c r="R65" i="1"/>
  <c r="N65" i="1"/>
  <c r="P64" i="1"/>
  <c r="R63" i="1"/>
  <c r="N63" i="1"/>
  <c r="P62" i="1"/>
  <c r="R61" i="1"/>
  <c r="N61" i="1"/>
  <c r="P60" i="1"/>
  <c r="R59" i="1"/>
  <c r="N59" i="1"/>
  <c r="P58" i="1"/>
  <c r="R57" i="1"/>
  <c r="N57" i="1"/>
  <c r="P56" i="1"/>
  <c r="N94" i="1"/>
  <c r="N93" i="1"/>
  <c r="R47" i="1"/>
  <c r="P47" i="1"/>
  <c r="N47" i="1"/>
  <c r="R46" i="1"/>
  <c r="P46" i="1"/>
  <c r="N46" i="1"/>
  <c r="R45" i="1"/>
  <c r="P45" i="1"/>
  <c r="N45" i="1"/>
  <c r="R44" i="1"/>
  <c r="P44" i="1"/>
  <c r="N44" i="1"/>
  <c r="R43" i="1"/>
  <c r="P43" i="1"/>
  <c r="N43" i="1"/>
  <c r="R42" i="1"/>
  <c r="P42" i="1"/>
  <c r="N42" i="1"/>
  <c r="R41" i="1"/>
  <c r="P41" i="1"/>
  <c r="N41" i="1"/>
  <c r="R40" i="1"/>
  <c r="P40" i="1"/>
  <c r="N40" i="1"/>
  <c r="R39" i="1"/>
  <c r="P39" i="1"/>
  <c r="N39" i="1"/>
  <c r="R38" i="1"/>
  <c r="P38" i="1"/>
  <c r="N38" i="1"/>
  <c r="R37" i="1"/>
  <c r="P37" i="1"/>
  <c r="N37" i="1"/>
  <c r="R36" i="1"/>
  <c r="P36" i="1"/>
  <c r="N36" i="1"/>
  <c r="R35" i="1"/>
  <c r="P35" i="1"/>
  <c r="N35" i="1"/>
  <c r="R34" i="1"/>
  <c r="P34" i="1"/>
  <c r="N34" i="1"/>
  <c r="R33" i="1"/>
  <c r="P33" i="1"/>
  <c r="N33" i="1"/>
  <c r="R32" i="1"/>
  <c r="P32" i="1"/>
  <c r="N32" i="1"/>
  <c r="R31" i="1"/>
  <c r="P31" i="1"/>
  <c r="N31" i="1"/>
  <c r="R30" i="1"/>
  <c r="P30" i="1"/>
  <c r="S48" i="1" s="1"/>
  <c r="A29" i="2" s="1"/>
  <c r="B43" i="2" l="1"/>
  <c r="B36" i="2"/>
  <c r="S67" i="1"/>
  <c r="O81" i="1"/>
</calcChain>
</file>

<file path=xl/comments1.xml><?xml version="1.0" encoding="utf-8"?>
<comments xmlns="http://schemas.openxmlformats.org/spreadsheetml/2006/main">
  <authors>
    <author>amg33v</author>
    <author>Ángel Martínez García</author>
  </authors>
  <commentList>
    <comment ref="A1" authorId="0" shapeId="0">
      <text>
        <r>
          <rPr>
            <b/>
            <sz val="8"/>
            <color indexed="81"/>
            <rFont val="Tahoma"/>
          </rPr>
          <t>Introducir los datos pinchando en las casillas de color azul.</t>
        </r>
      </text>
    </comment>
    <comment ref="D26" authorId="1" shapeId="0">
      <text>
        <r>
          <rPr>
            <b/>
            <sz val="8"/>
            <color indexed="81"/>
            <rFont val="Tahoma"/>
          </rPr>
          <t>Seleccionar uno de los valores de la lista desplegable (para tareas de levantamiento con  una frecuencia menor de 0,2 lev/min se debe tomar 0,2 lev/min).</t>
        </r>
      </text>
    </comment>
    <comment ref="D29" authorId="1" shapeId="0">
      <text>
        <r>
          <rPr>
            <b/>
            <sz val="8"/>
            <color indexed="81"/>
            <rFont val="Tahoma"/>
            <family val="2"/>
          </rPr>
          <t>Seleccionar uno de los valores de la lista desplegable en función de los criterios siguientes:</t>
        </r>
        <r>
          <rPr>
            <b/>
            <u/>
            <sz val="8"/>
            <color indexed="81"/>
            <rFont val="Tahoma"/>
            <family val="2"/>
          </rPr>
          <t xml:space="preserve">
Corta duración</t>
        </r>
        <r>
          <rPr>
            <b/>
            <sz val="8"/>
            <color indexed="81"/>
            <rFont val="Tahoma"/>
          </rPr>
          <t xml:space="preserve">: Tareas de levantamiento de hasta 1 hora seguidas de un período de recuperación igual a 1,2 veces el tiempo de trabajo.
</t>
        </r>
        <r>
          <rPr>
            <b/>
            <u/>
            <sz val="8"/>
            <color indexed="81"/>
            <rFont val="Tahoma"/>
            <family val="2"/>
          </rPr>
          <t>Duración moderada o media</t>
        </r>
        <r>
          <rPr>
            <b/>
            <sz val="8"/>
            <color indexed="81"/>
            <rFont val="Tahoma"/>
          </rPr>
          <t xml:space="preserve">: Tareas de más de 1 hora pero menos de 2 horas, seguidas de un período de recuperación de al menos 0,3 veces el tiempo de trabajo.
</t>
        </r>
        <r>
          <rPr>
            <b/>
            <u/>
            <sz val="8"/>
            <color indexed="81"/>
            <rFont val="Tahoma"/>
            <family val="2"/>
          </rPr>
          <t>Larga duración</t>
        </r>
        <r>
          <rPr>
            <b/>
            <sz val="8"/>
            <color indexed="81"/>
            <rFont val="Tahoma"/>
          </rPr>
          <t>: Tareas que duran entre 2 y 8 horas.</t>
        </r>
      </text>
    </comment>
    <comment ref="D32" authorId="1" shapeId="0">
      <text>
        <r>
          <rPr>
            <b/>
            <sz val="8"/>
            <color indexed="81"/>
            <rFont val="Tahoma"/>
          </rPr>
          <t>Seleccionar "Si" en la lista desplegable si es necesaria una colocación precisa de la carga en el lugar de destino de la carga manipulada.</t>
        </r>
      </text>
    </comment>
    <comment ref="D35" authorId="1" shapeId="0">
      <text>
        <r>
          <rPr>
            <b/>
            <sz val="8"/>
            <color indexed="81"/>
            <rFont val="Tahoma"/>
          </rPr>
          <t xml:space="preserve">Seleccionar de la lista desplegable uno de los dos valores:
</t>
        </r>
        <r>
          <rPr>
            <b/>
            <u/>
            <sz val="8"/>
            <color indexed="81"/>
            <rFont val="Tahoma"/>
            <family val="2"/>
          </rPr>
          <t>Población general</t>
        </r>
        <r>
          <rPr>
            <b/>
            <sz val="8"/>
            <color indexed="81"/>
            <rFont val="Tahoma"/>
          </rPr>
          <t xml:space="preserve">: Si el trabajo lo realizan hombres adultos.
</t>
        </r>
        <r>
          <rPr>
            <b/>
            <u/>
            <sz val="8"/>
            <color indexed="81"/>
            <rFont val="Tahoma"/>
            <family val="2"/>
          </rPr>
          <t>Mayor protección</t>
        </r>
        <r>
          <rPr>
            <b/>
            <sz val="8"/>
            <color indexed="81"/>
            <rFont val="Tahoma"/>
          </rPr>
          <t>: si el trabajo lo realizan mujeres  o trabajadores jóvenes o mayores.</t>
        </r>
      </text>
    </comment>
    <comment ref="A39" authorId="1" shapeId="0">
      <text>
        <r>
          <rPr>
            <b/>
            <sz val="8"/>
            <color indexed="81"/>
            <rFont val="Tahoma"/>
          </rPr>
          <t>Introducir el valor (expresado en cm.) de la distancia existente entre el punto medio de la linea que une la parte interna de los tobillos y el punto medio (proyectado en el suelo) del agarre de las manos.</t>
        </r>
      </text>
    </comment>
    <comment ref="A41" authorId="1" shapeId="0">
      <text>
        <r>
          <rPr>
            <b/>
            <sz val="8"/>
            <color indexed="81"/>
            <rFont val="Tahoma"/>
          </rPr>
          <t>Introducir, tanto en Origen como en Destino, el valor (expresado en cm.) de la distancia existente entre el punto de agarre de la carga y el suelo.</t>
        </r>
      </text>
    </comment>
    <comment ref="A43" authorId="1" shapeId="0">
      <text>
        <r>
          <rPr>
            <b/>
            <sz val="8"/>
            <color indexed="81"/>
            <rFont val="Tahoma"/>
          </rPr>
          <t>Introducir la medida angular (º) del desplazamiento de la carga manipulada con respecto al plano medio sagital del trabajador.</t>
        </r>
      </text>
    </comment>
    <comment ref="D45" authorId="1" shapeId="0">
      <text>
        <r>
          <rPr>
            <b/>
            <sz val="8"/>
            <color indexed="81"/>
            <rFont val="Tahoma"/>
          </rPr>
          <t>La casilla de control siginificativo en el destino debe marcar "Si" para que la introducción de este dato tenga efecto.</t>
        </r>
      </text>
    </comment>
  </commentList>
</comments>
</file>

<file path=xl/sharedStrings.xml><?xml version="1.0" encoding="utf-8"?>
<sst xmlns="http://schemas.openxmlformats.org/spreadsheetml/2006/main" count="62" uniqueCount="58">
  <si>
    <t>Empresa</t>
  </si>
  <si>
    <t>Puesto evaluado</t>
  </si>
  <si>
    <t>Fecha</t>
  </si>
  <si>
    <t xml:space="preserve">             Observaciones</t>
  </si>
  <si>
    <t>Ecuación NIOSH de levantamiento de cargas (tarea simple)</t>
  </si>
  <si>
    <t>Peso de la carga</t>
  </si>
  <si>
    <t xml:space="preserve"> Kg</t>
  </si>
  <si>
    <t>Frecuencia (lev/min.)</t>
  </si>
  <si>
    <t>≤0,2</t>
  </si>
  <si>
    <t>Duración de la tarea</t>
  </si>
  <si>
    <t>larga</t>
  </si>
  <si>
    <t>corta</t>
  </si>
  <si>
    <t>media</t>
  </si>
  <si>
    <t>¿Control significativo en el destino?</t>
  </si>
  <si>
    <t>No</t>
  </si>
  <si>
    <t>Si</t>
  </si>
  <si>
    <t>Origen</t>
  </si>
  <si>
    <t>Destino</t>
  </si>
  <si>
    <t>Tipo de agarre</t>
  </si>
  <si>
    <t>Bueno</t>
  </si>
  <si>
    <t>Regular</t>
  </si>
  <si>
    <t>Malo</t>
  </si>
  <si>
    <t>Distancia horizontal (H)</t>
  </si>
  <si>
    <t>Distancia vertical (V)</t>
  </si>
  <si>
    <t>Ángulo de asimetría (A)</t>
  </si>
  <si>
    <t>HM origen</t>
  </si>
  <si>
    <t>HM destino</t>
  </si>
  <si>
    <t>VM origen</t>
  </si>
  <si>
    <t>VM destino</t>
  </si>
  <si>
    <t>DM</t>
  </si>
  <si>
    <t>AM origen</t>
  </si>
  <si>
    <t>AM destino</t>
  </si>
  <si>
    <t>FM origen</t>
  </si>
  <si>
    <t>FM destino</t>
  </si>
  <si>
    <t>&gt;15</t>
  </si>
  <si>
    <t>CM origen</t>
  </si>
  <si>
    <t>CM destino</t>
  </si>
  <si>
    <t>Resumen de datos y resultados de la evaluación</t>
  </si>
  <si>
    <r>
      <t>Distancia horizontal</t>
    </r>
    <r>
      <rPr>
        <b/>
        <vertAlign val="subscript"/>
        <sz val="9.5"/>
        <rFont val="Arial"/>
        <family val="2"/>
      </rPr>
      <t>cm</t>
    </r>
    <r>
      <rPr>
        <b/>
        <sz val="9.5"/>
        <rFont val="Arial"/>
        <family val="2"/>
      </rPr>
      <t xml:space="preserve"> (H)</t>
    </r>
  </si>
  <si>
    <r>
      <t>Distancia vertical</t>
    </r>
    <r>
      <rPr>
        <b/>
        <vertAlign val="subscript"/>
        <sz val="10"/>
        <rFont val="Arial"/>
        <family val="2"/>
      </rPr>
      <t>cm</t>
    </r>
    <r>
      <rPr>
        <b/>
        <sz val="10"/>
        <rFont val="Arial"/>
        <family val="2"/>
      </rPr>
      <t xml:space="preserve"> (V)</t>
    </r>
  </si>
  <si>
    <t>Ángulo de asimetría (A)º</t>
  </si>
  <si>
    <t>LPR              =   LC    x    HM    x    VM    x    DM    x    AM    x    FM    x    CM</t>
  </si>
  <si>
    <t>LPR origen</t>
  </si>
  <si>
    <t>LPR destino</t>
  </si>
  <si>
    <t>IL origen</t>
  </si>
  <si>
    <t>IL destino</t>
  </si>
  <si>
    <t>IL</t>
  </si>
  <si>
    <t>IL =</t>
  </si>
  <si>
    <t xml:space="preserve">              IL = Peso de la carga / Límite de Peso Recomendado = C / LPR</t>
  </si>
  <si>
    <t>IL &lt; 1 Riesgo limitado</t>
  </si>
  <si>
    <t>1 &lt; IL &lt; 1,6 Riesgo moderado</t>
  </si>
  <si>
    <t>IL &gt; 1,6 Riesgo acusado</t>
  </si>
  <si>
    <t>Población</t>
  </si>
  <si>
    <t>General</t>
  </si>
  <si>
    <t>Mayor protección</t>
  </si>
  <si>
    <r>
      <t xml:space="preserve">                 </t>
    </r>
    <r>
      <rPr>
        <u/>
        <sz val="11"/>
        <color indexed="18"/>
        <rFont val="Verdana"/>
        <family val="2"/>
      </rPr>
      <t>Límite de peso recomendado LPR (Kg)</t>
    </r>
  </si>
  <si>
    <r>
      <t xml:space="preserve">                  </t>
    </r>
    <r>
      <rPr>
        <u/>
        <sz val="11"/>
        <color indexed="18"/>
        <rFont val="Verdana"/>
        <family val="2"/>
      </rPr>
      <t>Índice de levantamiento (IL)</t>
    </r>
  </si>
  <si>
    <r>
      <t xml:space="preserve">                  </t>
    </r>
    <r>
      <rPr>
        <u/>
        <sz val="11"/>
        <color indexed="18"/>
        <rFont val="Verdana"/>
        <family val="2"/>
      </rPr>
      <t>Riesgo de la tarea</t>
    </r>
    <r>
      <rPr>
        <sz val="11"/>
        <color indexed="18"/>
        <rFont val="Verdana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</si>
</sst>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b/>
      <sz val="8"/>
      <color indexed="81"/>
      <name val="Tahoma"/>
    </font>
    <font>
      <sz val="8"/>
      <name val="Arial"/>
    </font>
    <font>
      <b/>
      <sz val="10"/>
      <name val="Arial"/>
      <family val="2"/>
    </font>
    <font>
      <sz val="14"/>
      <color indexed="18"/>
      <name val="Comic Sans MS"/>
      <family val="4"/>
    </font>
    <font>
      <b/>
      <u/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1"/>
      <color indexed="18"/>
      <name val="Verdana"/>
      <family val="2"/>
    </font>
    <font>
      <u/>
      <sz val="11"/>
      <color indexed="18"/>
      <name val="Arial"/>
    </font>
    <font>
      <b/>
      <sz val="10"/>
      <color indexed="12"/>
      <name val="Arial"/>
      <family val="2"/>
    </font>
    <font>
      <b/>
      <sz val="10"/>
      <color indexed="60"/>
      <name val="Arial"/>
      <family val="2"/>
    </font>
    <font>
      <b/>
      <sz val="10"/>
      <color indexed="18"/>
      <name val="Arial"/>
      <family val="2"/>
    </font>
    <font>
      <b/>
      <vertAlign val="subscript"/>
      <sz val="10"/>
      <name val="Arial"/>
      <family val="2"/>
    </font>
    <font>
      <b/>
      <sz val="9.5"/>
      <name val="Arial"/>
      <family val="2"/>
    </font>
    <font>
      <b/>
      <vertAlign val="subscript"/>
      <sz val="9.5"/>
      <name val="Arial"/>
      <family val="2"/>
    </font>
    <font>
      <sz val="9.5"/>
      <name val="Arial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11"/>
      <color indexed="18"/>
      <name val="Comic Sans MS"/>
      <family val="4"/>
    </font>
    <font>
      <sz val="11"/>
      <color indexed="18"/>
      <name val="Verdana"/>
      <family val="2"/>
    </font>
    <font>
      <sz val="11"/>
      <color indexed="1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0" xfId="0" applyFon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1" fillId="0" borderId="0" xfId="0" applyFont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0" fillId="0" borderId="0" xfId="0" applyAlignment="1"/>
    <xf numFmtId="0" fontId="3" fillId="2" borderId="1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7" fillId="0" borderId="0" xfId="0" applyFont="1" applyAlignment="1">
      <alignment horizontal="left"/>
    </xf>
    <xf numFmtId="2" fontId="9" fillId="0" borderId="8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49" fontId="0" fillId="0" borderId="0" xfId="0" applyNumberFormat="1"/>
    <xf numFmtId="0" fontId="3" fillId="0" borderId="0" xfId="0" applyFont="1" applyAlignment="1">
      <alignment horizontal="center"/>
    </xf>
    <xf numFmtId="0" fontId="16" fillId="0" borderId="0" xfId="0" applyFont="1"/>
    <xf numFmtId="0" fontId="10" fillId="0" borderId="1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3" fillId="0" borderId="0" xfId="0" applyFont="1" applyAlignment="1">
      <alignment horizontal="right"/>
    </xf>
    <xf numFmtId="2" fontId="3" fillId="0" borderId="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3" borderId="5" xfId="0" applyFill="1" applyBorder="1" applyAlignment="1" applyProtection="1">
      <alignment horizontal="left" vertical="center" wrapText="1"/>
      <protection locked="0"/>
    </xf>
    <xf numFmtId="0" fontId="0" fillId="3" borderId="6" xfId="0" applyFill="1" applyBorder="1" applyAlignment="1" applyProtection="1">
      <alignment horizontal="left" vertical="center" wrapText="1"/>
      <protection locked="0"/>
    </xf>
    <xf numFmtId="0" fontId="0" fillId="3" borderId="7" xfId="0" applyFill="1" applyBorder="1" applyAlignment="1" applyProtection="1">
      <alignment horizontal="left" vertical="center" wrapText="1"/>
      <protection locked="0"/>
    </xf>
    <xf numFmtId="0" fontId="0" fillId="3" borderId="8" xfId="0" applyFill="1" applyBorder="1" applyAlignment="1" applyProtection="1">
      <alignment horizontal="left" vertical="center" wrapText="1"/>
      <protection locked="0"/>
    </xf>
    <xf numFmtId="0" fontId="0" fillId="3" borderId="9" xfId="0" applyFill="1" applyBorder="1" applyAlignment="1" applyProtection="1">
      <alignment horizontal="left" vertical="center" wrapText="1"/>
      <protection locked="0"/>
    </xf>
    <xf numFmtId="0" fontId="0" fillId="3" borderId="10" xfId="0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3" borderId="1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left" vertical="center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14" fontId="0" fillId="3" borderId="5" xfId="0" applyNumberFormat="1" applyFill="1" applyBorder="1" applyAlignment="1" applyProtection="1">
      <alignment horizontal="center" vertical="center" wrapText="1"/>
      <protection locked="0"/>
    </xf>
    <xf numFmtId="0" fontId="0" fillId="3" borderId="7" xfId="0" applyFill="1" applyBorder="1" applyAlignment="1" applyProtection="1">
      <alignment horizontal="center" vertical="center" wrapText="1"/>
      <protection locked="0"/>
    </xf>
    <xf numFmtId="0" fontId="0" fillId="3" borderId="8" xfId="0" applyFill="1" applyBorder="1" applyAlignment="1" applyProtection="1">
      <alignment horizontal="center" vertical="center" wrapText="1"/>
      <protection locked="0"/>
    </xf>
    <xf numFmtId="0" fontId="0" fillId="3" borderId="10" xfId="0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>
      <alignment horizontal="center" vertical="center" shrinkToFi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0" fillId="3" borderId="7" xfId="0" applyFill="1" applyBorder="1" applyAlignment="1" applyProtection="1">
      <alignment horizontal="left" vertical="top" wrapText="1"/>
      <protection locked="0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0" fillId="3" borderId="2" xfId="0" applyFill="1" applyBorder="1" applyAlignment="1" applyProtection="1">
      <alignment horizontal="left" vertical="top" wrapText="1"/>
      <protection locked="0"/>
    </xf>
    <xf numFmtId="0" fontId="0" fillId="3" borderId="8" xfId="0" applyFill="1" applyBorder="1" applyAlignment="1" applyProtection="1">
      <alignment horizontal="left" vertical="top" wrapText="1"/>
      <protection locked="0"/>
    </xf>
    <xf numFmtId="0" fontId="0" fillId="3" borderId="9" xfId="0" applyFill="1" applyBorder="1" applyAlignment="1" applyProtection="1">
      <alignment horizontal="left" vertical="top" wrapText="1"/>
      <protection locked="0"/>
    </xf>
    <xf numFmtId="0" fontId="0" fillId="3" borderId="10" xfId="0" applyFill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>
      <alignment horizontal="center" vertical="center"/>
    </xf>
    <xf numFmtId="0" fontId="18" fillId="3" borderId="11" xfId="0" applyNumberFormat="1" applyFont="1" applyFill="1" applyBorder="1" applyAlignment="1" applyProtection="1">
      <alignment horizontal="center" vertical="center" wrapText="1" readingOrder="1"/>
      <protection locked="0"/>
    </xf>
    <xf numFmtId="0" fontId="18" fillId="3" borderId="12" xfId="0" applyNumberFormat="1" applyFont="1" applyFill="1" applyBorder="1" applyAlignment="1" applyProtection="1">
      <alignment horizontal="center" vertical="center" wrapText="1" readingOrder="1"/>
      <protection locked="0"/>
    </xf>
    <xf numFmtId="0" fontId="13" fillId="0" borderId="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3" fillId="0" borderId="0" xfId="0" applyFont="1" applyAlignment="1">
      <alignment horizontal="justify" vertical="top"/>
    </xf>
    <xf numFmtId="0" fontId="3" fillId="4" borderId="13" xfId="0" applyFont="1" applyFill="1" applyBorder="1" applyAlignment="1">
      <alignment horizontal="center" vertical="justify" wrapText="1"/>
    </xf>
    <xf numFmtId="0" fontId="3" fillId="4" borderId="14" xfId="0" applyFont="1" applyFill="1" applyBorder="1" applyAlignment="1">
      <alignment horizontal="center" vertical="justify" wrapText="1"/>
    </xf>
    <xf numFmtId="0" fontId="3" fillId="4" borderId="15" xfId="0" applyFont="1" applyFill="1" applyBorder="1" applyAlignment="1">
      <alignment horizontal="center" vertical="justify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5" borderId="13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justify" wrapText="1"/>
    </xf>
    <xf numFmtId="0" fontId="3" fillId="6" borderId="14" xfId="0" applyFont="1" applyFill="1" applyBorder="1" applyAlignment="1">
      <alignment horizontal="center" vertical="justify" wrapText="1"/>
    </xf>
    <xf numFmtId="0" fontId="3" fillId="6" borderId="15" xfId="0" applyFont="1" applyFill="1" applyBorder="1" applyAlignment="1">
      <alignment horizontal="center" vertical="justify" wrapText="1"/>
    </xf>
    <xf numFmtId="0" fontId="16" fillId="0" borderId="0" xfId="0" applyFont="1" applyAlignment="1">
      <alignment horizontal="left"/>
    </xf>
    <xf numFmtId="0" fontId="19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16" fillId="0" borderId="0" xfId="0" applyNumberFormat="1" applyFont="1" applyAlignment="1"/>
    <xf numFmtId="0" fontId="3" fillId="0" borderId="0" xfId="0" applyFont="1" applyAlignme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/>
  </cellXfs>
  <cellStyles count="1">
    <cellStyle name="Normal" xfId="0" builtinId="0"/>
  </cellStyles>
  <dxfs count="5"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50"/>
        </patternFill>
      </fill>
    </dxf>
    <dxf>
      <font>
        <condense val="0"/>
        <extend val="0"/>
        <color indexed="41"/>
      </font>
    </dxf>
    <dxf>
      <font>
        <condense val="0"/>
        <extend val="0"/>
        <color indexed="2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6</xdr:col>
      <xdr:colOff>742950</xdr:colOff>
      <xdr:row>46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5305425" cy="7496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45</xdr:row>
      <xdr:rowOff>85725</xdr:rowOff>
    </xdr:from>
    <xdr:to>
      <xdr:col>6</xdr:col>
      <xdr:colOff>752475</xdr:colOff>
      <xdr:row>53</xdr:row>
      <xdr:rowOff>9525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2350"/>
          <a:ext cx="532447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57</xdr:row>
      <xdr:rowOff>28575</xdr:rowOff>
    </xdr:from>
    <xdr:to>
      <xdr:col>6</xdr:col>
      <xdr:colOff>752475</xdr:colOff>
      <xdr:row>95</xdr:row>
      <xdr:rowOff>19050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5324475" cy="6143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97</xdr:row>
      <xdr:rowOff>123825</xdr:rowOff>
    </xdr:from>
    <xdr:to>
      <xdr:col>6</xdr:col>
      <xdr:colOff>742950</xdr:colOff>
      <xdr:row>108</xdr:row>
      <xdr:rowOff>47625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5314950" cy="1704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47625</xdr:rowOff>
    </xdr:from>
    <xdr:to>
      <xdr:col>7</xdr:col>
      <xdr:colOff>0</xdr:colOff>
      <xdr:row>131</xdr:row>
      <xdr:rowOff>66675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83225"/>
          <a:ext cx="5334000" cy="3095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19050</xdr:rowOff>
    </xdr:from>
    <xdr:to>
      <xdr:col>7</xdr:col>
      <xdr:colOff>0</xdr:colOff>
      <xdr:row>167</xdr:row>
      <xdr:rowOff>114300</xdr:rowOff>
    </xdr:to>
    <xdr:pic>
      <xdr:nvPicPr>
        <xdr:cNvPr id="41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1225"/>
          <a:ext cx="5334000" cy="592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76200</xdr:rowOff>
    </xdr:from>
    <xdr:to>
      <xdr:col>7</xdr:col>
      <xdr:colOff>0</xdr:colOff>
      <xdr:row>178</xdr:row>
      <xdr:rowOff>57150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5334000" cy="1600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152400</xdr:rowOff>
    </xdr:from>
    <xdr:to>
      <xdr:col>6</xdr:col>
      <xdr:colOff>752475</xdr:colOff>
      <xdr:row>224</xdr:row>
      <xdr:rowOff>76200</xdr:rowOff>
    </xdr:to>
    <xdr:pic>
      <xdr:nvPicPr>
        <xdr:cNvPr id="41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25"/>
          <a:ext cx="5324475" cy="7534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266700</xdr:colOff>
      <xdr:row>212</xdr:row>
      <xdr:rowOff>152400</xdr:rowOff>
    </xdr:from>
    <xdr:to>
      <xdr:col>6</xdr:col>
      <xdr:colOff>647700</xdr:colOff>
      <xdr:row>223</xdr:row>
      <xdr:rowOff>28575</xdr:rowOff>
    </xdr:to>
    <xdr:pic>
      <xdr:nvPicPr>
        <xdr:cNvPr id="41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4480500"/>
          <a:ext cx="4953000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225</xdr:row>
      <xdr:rowOff>85725</xdr:rowOff>
    </xdr:from>
    <xdr:to>
      <xdr:col>6</xdr:col>
      <xdr:colOff>752475</xdr:colOff>
      <xdr:row>247</xdr:row>
      <xdr:rowOff>85725</xdr:rowOff>
    </xdr:to>
    <xdr:pic>
      <xdr:nvPicPr>
        <xdr:cNvPr id="41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8850"/>
          <a:ext cx="5324475" cy="3562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250</xdr:row>
      <xdr:rowOff>142875</xdr:rowOff>
    </xdr:from>
    <xdr:to>
      <xdr:col>6</xdr:col>
      <xdr:colOff>752475</xdr:colOff>
      <xdr:row>274</xdr:row>
      <xdr:rowOff>38100</xdr:rowOff>
    </xdr:to>
    <xdr:pic>
      <xdr:nvPicPr>
        <xdr:cNvPr id="41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24125"/>
          <a:ext cx="5324475" cy="3781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281</xdr:row>
      <xdr:rowOff>133350</xdr:rowOff>
    </xdr:from>
    <xdr:to>
      <xdr:col>7</xdr:col>
      <xdr:colOff>0</xdr:colOff>
      <xdr:row>300</xdr:row>
      <xdr:rowOff>142875</xdr:rowOff>
    </xdr:to>
    <xdr:pic>
      <xdr:nvPicPr>
        <xdr:cNvPr id="411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34275"/>
          <a:ext cx="5334000" cy="3086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301</xdr:row>
      <xdr:rowOff>85725</xdr:rowOff>
    </xdr:from>
    <xdr:to>
      <xdr:col>7</xdr:col>
      <xdr:colOff>0</xdr:colOff>
      <xdr:row>329</xdr:row>
      <xdr:rowOff>85725</xdr:rowOff>
    </xdr:to>
    <xdr:pic>
      <xdr:nvPicPr>
        <xdr:cNvPr id="411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825150"/>
          <a:ext cx="5334000" cy="453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142875</xdr:rowOff>
    </xdr:from>
    <xdr:to>
      <xdr:col>6</xdr:col>
      <xdr:colOff>752475</xdr:colOff>
      <xdr:row>334</xdr:row>
      <xdr:rowOff>47625</xdr:rowOff>
    </xdr:to>
    <xdr:pic>
      <xdr:nvPicPr>
        <xdr:cNvPr id="41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16200"/>
          <a:ext cx="5324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9525</xdr:colOff>
      <xdr:row>337</xdr:row>
      <xdr:rowOff>152400</xdr:rowOff>
    </xdr:from>
    <xdr:to>
      <xdr:col>7</xdr:col>
      <xdr:colOff>0</xdr:colOff>
      <xdr:row>349</xdr:row>
      <xdr:rowOff>76200</xdr:rowOff>
    </xdr:to>
    <xdr:pic>
      <xdr:nvPicPr>
        <xdr:cNvPr id="41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4721125"/>
          <a:ext cx="5324475" cy="1866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349</xdr:row>
      <xdr:rowOff>104775</xdr:rowOff>
    </xdr:from>
    <xdr:to>
      <xdr:col>7</xdr:col>
      <xdr:colOff>0</xdr:colOff>
      <xdr:row>391</xdr:row>
      <xdr:rowOff>0</xdr:rowOff>
    </xdr:to>
    <xdr:pic>
      <xdr:nvPicPr>
        <xdr:cNvPr id="41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0"/>
          <a:ext cx="5334000" cy="6696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393</xdr:row>
      <xdr:rowOff>57150</xdr:rowOff>
    </xdr:from>
    <xdr:to>
      <xdr:col>6</xdr:col>
      <xdr:colOff>752475</xdr:colOff>
      <xdr:row>397</xdr:row>
      <xdr:rowOff>76200</xdr:rowOff>
    </xdr:to>
    <xdr:pic>
      <xdr:nvPicPr>
        <xdr:cNvPr id="411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93675"/>
          <a:ext cx="532447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7</xdr:col>
      <xdr:colOff>0</xdr:colOff>
      <xdr:row>443</xdr:row>
      <xdr:rowOff>85725</xdr:rowOff>
    </xdr:to>
    <xdr:pic>
      <xdr:nvPicPr>
        <xdr:cNvPr id="412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84225"/>
          <a:ext cx="5334000" cy="7534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442</xdr:row>
      <xdr:rowOff>19050</xdr:rowOff>
    </xdr:from>
    <xdr:to>
      <xdr:col>6</xdr:col>
      <xdr:colOff>752475</xdr:colOff>
      <xdr:row>445</xdr:row>
      <xdr:rowOff>123825</xdr:rowOff>
    </xdr:to>
    <xdr:pic>
      <xdr:nvPicPr>
        <xdr:cNvPr id="4121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89900"/>
          <a:ext cx="53244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6</xdr:col>
      <xdr:colOff>714375</xdr:colOff>
      <xdr:row>3</xdr:row>
      <xdr:rowOff>104775</xdr:rowOff>
    </xdr:to>
    <xdr:pic>
      <xdr:nvPicPr>
        <xdr:cNvPr id="412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52863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312</xdr:row>
      <xdr:rowOff>142875</xdr:rowOff>
    </xdr:from>
    <xdr:to>
      <xdr:col>6</xdr:col>
      <xdr:colOff>542925</xdr:colOff>
      <xdr:row>313</xdr:row>
      <xdr:rowOff>114300</xdr:rowOff>
    </xdr:to>
    <xdr:pic>
      <xdr:nvPicPr>
        <xdr:cNvPr id="412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663475"/>
          <a:ext cx="5114925" cy="133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424</xdr:row>
      <xdr:rowOff>66675</xdr:rowOff>
    </xdr:from>
    <xdr:to>
      <xdr:col>7</xdr:col>
      <xdr:colOff>0</xdr:colOff>
      <xdr:row>429</xdr:row>
      <xdr:rowOff>28575</xdr:rowOff>
    </xdr:to>
    <xdr:pic>
      <xdr:nvPicPr>
        <xdr:cNvPr id="412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722875"/>
          <a:ext cx="5334000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19050</xdr:colOff>
      <xdr:row>441</xdr:row>
      <xdr:rowOff>0</xdr:rowOff>
    </xdr:from>
    <xdr:to>
      <xdr:col>6</xdr:col>
      <xdr:colOff>742950</xdr:colOff>
      <xdr:row>446</xdr:row>
      <xdr:rowOff>57150</xdr:rowOff>
    </xdr:to>
    <xdr:pic>
      <xdr:nvPicPr>
        <xdr:cNvPr id="412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1408925"/>
          <a:ext cx="52959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449</xdr:row>
      <xdr:rowOff>76200</xdr:rowOff>
    </xdr:from>
    <xdr:to>
      <xdr:col>6</xdr:col>
      <xdr:colOff>752475</xdr:colOff>
      <xdr:row>476</xdr:row>
      <xdr:rowOff>104775</xdr:rowOff>
    </xdr:to>
    <xdr:pic>
      <xdr:nvPicPr>
        <xdr:cNvPr id="412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80525"/>
          <a:ext cx="5324475" cy="440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3</xdr:row>
      <xdr:rowOff>104775</xdr:rowOff>
    </xdr:from>
    <xdr:to>
      <xdr:col>3</xdr:col>
      <xdr:colOff>190500</xdr:colOff>
      <xdr:row>4</xdr:row>
      <xdr:rowOff>57150</xdr:rowOff>
    </xdr:to>
    <xdr:pic>
      <xdr:nvPicPr>
        <xdr:cNvPr id="4131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90550"/>
          <a:ext cx="24098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477</xdr:row>
      <xdr:rowOff>142875</xdr:rowOff>
    </xdr:from>
    <xdr:to>
      <xdr:col>7</xdr:col>
      <xdr:colOff>0</xdr:colOff>
      <xdr:row>479</xdr:row>
      <xdr:rowOff>57150</xdr:rowOff>
    </xdr:to>
    <xdr:pic>
      <xdr:nvPicPr>
        <xdr:cNvPr id="413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381100"/>
          <a:ext cx="5334000" cy="238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47</xdr:row>
      <xdr:rowOff>76200</xdr:rowOff>
    </xdr:from>
    <xdr:to>
      <xdr:col>3</xdr:col>
      <xdr:colOff>742950</xdr:colOff>
      <xdr:row>54</xdr:row>
      <xdr:rowOff>28575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829550"/>
          <a:ext cx="155257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514350</xdr:colOff>
      <xdr:row>21</xdr:row>
      <xdr:rowOff>0</xdr:rowOff>
    </xdr:from>
    <xdr:to>
      <xdr:col>6</xdr:col>
      <xdr:colOff>361950</xdr:colOff>
      <xdr:row>37</xdr:row>
      <xdr:rowOff>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3419475"/>
          <a:ext cx="1371600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21</xdr:row>
      <xdr:rowOff>0</xdr:rowOff>
    </xdr:from>
    <xdr:to>
      <xdr:col>7</xdr:col>
      <xdr:colOff>0</xdr:colOff>
      <xdr:row>26</xdr:row>
      <xdr:rowOff>123825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3419475"/>
          <a:ext cx="104775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9525</xdr:colOff>
      <xdr:row>37</xdr:row>
      <xdr:rowOff>9525</xdr:rowOff>
    </xdr:from>
    <xdr:to>
      <xdr:col>6</xdr:col>
      <xdr:colOff>600075</xdr:colOff>
      <xdr:row>54</xdr:row>
      <xdr:rowOff>123825</xdr:rowOff>
    </xdr:to>
    <xdr:grpSp>
      <xdr:nvGrpSpPr>
        <xdr:cNvPr id="1080" name="Group 56"/>
        <xdr:cNvGrpSpPr>
          <a:grpSpLocks/>
        </xdr:cNvGrpSpPr>
      </xdr:nvGrpSpPr>
      <xdr:grpSpPr bwMode="auto">
        <a:xfrm>
          <a:off x="3088005" y="6082665"/>
          <a:ext cx="2114550" cy="2834640"/>
          <a:chOff x="325" y="651"/>
          <a:chExt cx="222" cy="301"/>
        </a:xfrm>
      </xdr:grpSpPr>
      <xdr:pic>
        <xdr:nvPicPr>
          <xdr:cNvPr id="1054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5" y="651"/>
            <a:ext cx="178" cy="3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79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751729">
            <a:off x="453" y="704"/>
            <a:ext cx="94" cy="1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17</xdr:row>
      <xdr:rowOff>57150</xdr:rowOff>
    </xdr:from>
    <xdr:to>
      <xdr:col>4</xdr:col>
      <xdr:colOff>352425</xdr:colOff>
      <xdr:row>25</xdr:row>
      <xdr:rowOff>133350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867025"/>
          <a:ext cx="2619375" cy="1524000"/>
        </a:xfrm>
        <a:prstGeom prst="rect">
          <a:avLst/>
        </a:prstGeom>
        <a:noFill/>
        <a:ln w="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19050</xdr:rowOff>
    </xdr:from>
    <xdr:to>
      <xdr:col>6</xdr:col>
      <xdr:colOff>752475</xdr:colOff>
      <xdr:row>75</xdr:row>
      <xdr:rowOff>57150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714875"/>
          <a:ext cx="4562475" cy="7486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716380</xdr:colOff>
      <xdr:row>0</xdr:row>
      <xdr:rowOff>53496</xdr:rowOff>
    </xdr:from>
    <xdr:to>
      <xdr:col>6</xdr:col>
      <xdr:colOff>721126</xdr:colOff>
      <xdr:row>28</xdr:row>
      <xdr:rowOff>137160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380" y="53496"/>
          <a:ext cx="4576746" cy="4564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1A0000" mc:Ignorable="a14" a14:legacySpreadsheetColorIndex="26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1A0000" mc:Ignorable="a14" a14:legacySpreadsheetColorIndex="26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autoPageBreaks="0"/>
  </sheetPr>
  <dimension ref="A1"/>
  <sheetViews>
    <sheetView showGridLines="0" showRowColHeaders="0" tabSelected="1" zoomScale="150" workbookViewId="0">
      <selection activeCell="E481" sqref="E481"/>
    </sheetView>
  </sheetViews>
  <sheetFormatPr baseColWidth="10" defaultRowHeight="12.75" x14ac:dyDescent="0.2"/>
  <sheetData/>
  <sheetProtection password="C776" sheet="1" objects="1" scenarios="1" selectLockedCells="1" selectUnlockedCells="1"/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autoPageBreaks="0"/>
  </sheetPr>
  <dimension ref="A1:S94"/>
  <sheetViews>
    <sheetView showGridLines="0" showRowColHeaders="0" zoomScale="125" workbookViewId="0">
      <selection activeCell="C13" sqref="C13:F20"/>
    </sheetView>
  </sheetViews>
  <sheetFormatPr baseColWidth="10" defaultRowHeight="12.75" x14ac:dyDescent="0.2"/>
  <cols>
    <col min="4" max="4" width="11.85546875" bestFit="1" customWidth="1"/>
    <col min="8" max="13" width="11.42578125" hidden="1" customWidth="1"/>
    <col min="14" max="14" width="22.85546875" hidden="1" customWidth="1"/>
    <col min="15" max="15" width="23" hidden="1" customWidth="1"/>
    <col min="16" max="19" width="11.42578125" hidden="1" customWidth="1"/>
    <col min="20" max="20" width="0" hidden="1" customWidth="1"/>
  </cols>
  <sheetData>
    <row r="1" spans="1:16" ht="14.25" x14ac:dyDescent="0.2">
      <c r="A1" s="42" t="s">
        <v>4</v>
      </c>
      <c r="B1" s="43"/>
      <c r="C1" s="43"/>
      <c r="D1" s="43"/>
      <c r="E1" s="43"/>
      <c r="F1" s="43"/>
      <c r="G1" s="43"/>
    </row>
    <row r="2" spans="1:16" x14ac:dyDescent="0.2">
      <c r="A2" s="1"/>
      <c r="B2" s="1"/>
      <c r="C2" s="1"/>
      <c r="D2" s="1"/>
      <c r="E2" s="1"/>
      <c r="F2" s="1"/>
      <c r="G2" s="1"/>
    </row>
    <row r="3" spans="1:16" x14ac:dyDescent="0.2">
      <c r="A3" s="1"/>
      <c r="B3" s="1"/>
      <c r="C3" s="1"/>
      <c r="D3" s="1"/>
      <c r="E3" s="1"/>
      <c r="F3" s="1"/>
      <c r="G3" s="1"/>
    </row>
    <row r="4" spans="1:16" x14ac:dyDescent="0.2">
      <c r="A4" s="1"/>
      <c r="B4" s="44" t="s">
        <v>0</v>
      </c>
      <c r="C4" s="45"/>
      <c r="D4" s="46"/>
      <c r="E4" s="46"/>
      <c r="F4" s="47"/>
      <c r="G4" s="1"/>
    </row>
    <row r="5" spans="1:16" x14ac:dyDescent="0.2">
      <c r="A5" s="1"/>
      <c r="B5" s="44"/>
      <c r="C5" s="48"/>
      <c r="D5" s="49"/>
      <c r="E5" s="49"/>
      <c r="F5" s="50"/>
      <c r="G5" s="1"/>
    </row>
    <row r="6" spans="1:16" x14ac:dyDescent="0.2">
      <c r="A6" s="1"/>
      <c r="B6" s="1"/>
      <c r="C6" s="1"/>
      <c r="D6" s="1"/>
      <c r="E6" s="1"/>
      <c r="F6" s="1"/>
      <c r="G6" s="4"/>
    </row>
    <row r="7" spans="1:16" x14ac:dyDescent="0.2">
      <c r="A7" s="1"/>
      <c r="B7" s="51" t="s">
        <v>1</v>
      </c>
      <c r="C7" s="45"/>
      <c r="D7" s="46"/>
      <c r="E7" s="46"/>
      <c r="F7" s="47"/>
      <c r="G7" s="1"/>
    </row>
    <row r="8" spans="1:16" x14ac:dyDescent="0.2">
      <c r="A8" s="1"/>
      <c r="B8" s="51"/>
      <c r="C8" s="48"/>
      <c r="D8" s="49"/>
      <c r="E8" s="49"/>
      <c r="F8" s="50"/>
      <c r="G8" s="1"/>
    </row>
    <row r="9" spans="1:16" x14ac:dyDescent="0.2">
      <c r="A9" s="1"/>
      <c r="B9" s="1"/>
      <c r="C9" s="1"/>
      <c r="D9" s="1"/>
      <c r="E9" s="1"/>
      <c r="F9" s="1"/>
      <c r="G9" s="1"/>
    </row>
    <row r="10" spans="1:16" x14ac:dyDescent="0.2">
      <c r="A10" s="1"/>
      <c r="B10" s="51" t="s">
        <v>2</v>
      </c>
      <c r="C10" s="59"/>
      <c r="D10" s="60"/>
      <c r="E10" s="1"/>
      <c r="F10" s="1"/>
      <c r="G10" s="1"/>
      <c r="I10" s="2" t="s">
        <v>8</v>
      </c>
      <c r="J10" s="2" t="s">
        <v>11</v>
      </c>
      <c r="K10" s="2" t="s">
        <v>15</v>
      </c>
      <c r="L10" s="2" t="s">
        <v>19</v>
      </c>
      <c r="M10" s="2" t="s">
        <v>53</v>
      </c>
      <c r="N10" s="18" t="s">
        <v>25</v>
      </c>
      <c r="O10" s="19" t="s">
        <v>26</v>
      </c>
    </row>
    <row r="11" spans="1:16" x14ac:dyDescent="0.2">
      <c r="A11" s="1"/>
      <c r="B11" s="51"/>
      <c r="C11" s="61"/>
      <c r="D11" s="62"/>
      <c r="E11" s="1"/>
      <c r="F11" s="1"/>
      <c r="G11" s="1"/>
      <c r="I11" s="2">
        <v>0.5</v>
      </c>
      <c r="J11" s="2" t="s">
        <v>12</v>
      </c>
      <c r="K11" s="2" t="s">
        <v>14</v>
      </c>
      <c r="L11" s="2" t="s">
        <v>20</v>
      </c>
      <c r="M11" s="2" t="s">
        <v>54</v>
      </c>
      <c r="N11" s="6" t="e">
        <f>25/C39</f>
        <v>#DIV/0!</v>
      </c>
      <c r="O11" s="5" t="e">
        <f>25/D39</f>
        <v>#DIV/0!</v>
      </c>
    </row>
    <row r="12" spans="1:16" x14ac:dyDescent="0.2">
      <c r="A12" s="1"/>
      <c r="B12" s="1"/>
      <c r="C12" s="1"/>
      <c r="D12" s="1"/>
      <c r="E12" s="1"/>
      <c r="F12" s="1"/>
      <c r="G12" s="1"/>
      <c r="I12" s="2">
        <v>1</v>
      </c>
      <c r="J12" s="2" t="s">
        <v>10</v>
      </c>
      <c r="L12" s="2" t="s">
        <v>21</v>
      </c>
      <c r="N12" s="6" t="e">
        <f>IF(N11&gt;=1,1,0)</f>
        <v>#DIV/0!</v>
      </c>
      <c r="O12" s="5" t="e">
        <f>IF(O11&gt;=1,1,0)</f>
        <v>#DIV/0!</v>
      </c>
    </row>
    <row r="13" spans="1:16" x14ac:dyDescent="0.2">
      <c r="A13" s="63" t="s">
        <v>3</v>
      </c>
      <c r="B13" s="64"/>
      <c r="C13" s="66"/>
      <c r="D13" s="67"/>
      <c r="E13" s="67"/>
      <c r="F13" s="68"/>
      <c r="G13" s="1"/>
      <c r="I13" s="2">
        <v>2</v>
      </c>
      <c r="N13" s="6" t="e">
        <f>IF(AND(N11&lt;1,N11&gt;=25/63),N11,0)</f>
        <v>#DIV/0!</v>
      </c>
      <c r="O13" s="5" t="e">
        <f>IF(AND(O11&lt;1,O11&gt;=25/63),O11,0)</f>
        <v>#DIV/0!</v>
      </c>
    </row>
    <row r="14" spans="1:16" x14ac:dyDescent="0.2">
      <c r="A14" s="65"/>
      <c r="B14" s="64"/>
      <c r="C14" s="69"/>
      <c r="D14" s="70"/>
      <c r="E14" s="70"/>
      <c r="F14" s="71"/>
      <c r="G14" s="1"/>
      <c r="I14" s="2">
        <v>3</v>
      </c>
      <c r="N14" s="27" t="e">
        <f>SUM(N12:N13)</f>
        <v>#DIV/0!</v>
      </c>
      <c r="O14" s="28" t="e">
        <f>SUM(O12:O13)</f>
        <v>#DIV/0!</v>
      </c>
      <c r="P14" s="33"/>
    </row>
    <row r="15" spans="1:16" x14ac:dyDescent="0.2">
      <c r="A15" s="1"/>
      <c r="B15" s="1"/>
      <c r="C15" s="69"/>
      <c r="D15" s="70"/>
      <c r="E15" s="70"/>
      <c r="F15" s="71"/>
      <c r="G15" s="1"/>
      <c r="I15" s="2">
        <v>4</v>
      </c>
    </row>
    <row r="16" spans="1:16" x14ac:dyDescent="0.2">
      <c r="A16" s="1"/>
      <c r="B16" s="1"/>
      <c r="C16" s="69"/>
      <c r="D16" s="70"/>
      <c r="E16" s="70"/>
      <c r="F16" s="71"/>
      <c r="G16" s="1"/>
      <c r="I16" s="2">
        <v>5</v>
      </c>
      <c r="N16" s="18" t="s">
        <v>27</v>
      </c>
      <c r="O16" s="19" t="s">
        <v>28</v>
      </c>
    </row>
    <row r="17" spans="1:19" x14ac:dyDescent="0.2">
      <c r="A17" s="1"/>
      <c r="B17" s="1"/>
      <c r="C17" s="69"/>
      <c r="D17" s="70"/>
      <c r="E17" s="70"/>
      <c r="F17" s="71"/>
      <c r="G17" s="1"/>
      <c r="I17" s="2">
        <v>6</v>
      </c>
      <c r="N17" s="27">
        <f>1-0.003*(ABS(C41-75))</f>
        <v>0.77500000000000002</v>
      </c>
      <c r="O17" s="28">
        <f>1-0.003*(ABS(D41-75))</f>
        <v>0.77500000000000002</v>
      </c>
      <c r="P17" s="33"/>
    </row>
    <row r="18" spans="1:19" x14ac:dyDescent="0.2">
      <c r="A18" s="1"/>
      <c r="B18" s="1"/>
      <c r="C18" s="69"/>
      <c r="D18" s="70"/>
      <c r="E18" s="70"/>
      <c r="F18" s="71"/>
      <c r="G18" s="1"/>
      <c r="I18" s="2">
        <v>7</v>
      </c>
    </row>
    <row r="19" spans="1:19" x14ac:dyDescent="0.2">
      <c r="A19" s="1"/>
      <c r="B19" s="1"/>
      <c r="C19" s="69"/>
      <c r="D19" s="70"/>
      <c r="E19" s="70"/>
      <c r="F19" s="71"/>
      <c r="G19" s="1"/>
      <c r="I19" s="2">
        <v>8</v>
      </c>
      <c r="N19" s="20" t="s">
        <v>29</v>
      </c>
      <c r="O19" s="20" t="s">
        <v>52</v>
      </c>
    </row>
    <row r="20" spans="1:19" x14ac:dyDescent="0.2">
      <c r="A20" s="1"/>
      <c r="B20" s="1"/>
      <c r="C20" s="72"/>
      <c r="D20" s="73"/>
      <c r="E20" s="73"/>
      <c r="F20" s="74"/>
      <c r="G20" s="1"/>
      <c r="I20" s="2">
        <v>9</v>
      </c>
      <c r="N20" s="7" t="e">
        <f>0.82+4.5/ABS(C41-D41)</f>
        <v>#DIV/0!</v>
      </c>
      <c r="O20" s="41">
        <f>IF(D35="General",25,15)</f>
        <v>15</v>
      </c>
    </row>
    <row r="21" spans="1:19" x14ac:dyDescent="0.2">
      <c r="A21" s="1"/>
      <c r="B21" s="1"/>
      <c r="C21" s="1"/>
      <c r="D21" s="1"/>
      <c r="E21" s="1"/>
      <c r="F21" s="1"/>
      <c r="G21" s="1"/>
      <c r="I21" s="2">
        <v>10</v>
      </c>
      <c r="N21" s="29">
        <f>IF(ABS(C41-D41)&lt;25,1,N20)</f>
        <v>1</v>
      </c>
    </row>
    <row r="22" spans="1:19" x14ac:dyDescent="0.2">
      <c r="I22" s="2">
        <v>11</v>
      </c>
    </row>
    <row r="23" spans="1:19" x14ac:dyDescent="0.2">
      <c r="A23" s="52" t="s">
        <v>5</v>
      </c>
      <c r="B23" s="44"/>
      <c r="C23" s="53"/>
      <c r="D23" s="54"/>
      <c r="E23" s="56" t="s">
        <v>6</v>
      </c>
      <c r="I23" s="2">
        <v>12</v>
      </c>
      <c r="N23" s="18" t="s">
        <v>30</v>
      </c>
      <c r="O23" s="19" t="s">
        <v>31</v>
      </c>
    </row>
    <row r="24" spans="1:19" x14ac:dyDescent="0.2">
      <c r="A24" s="44"/>
      <c r="B24" s="44"/>
      <c r="C24" s="53"/>
      <c r="D24" s="55"/>
      <c r="E24" s="56"/>
      <c r="I24" s="2">
        <v>13</v>
      </c>
      <c r="N24" s="27">
        <f>1-(0.0032*C43)</f>
        <v>1</v>
      </c>
      <c r="O24" s="28">
        <f>1-(0.0032*D43)</f>
        <v>1</v>
      </c>
    </row>
    <row r="25" spans="1:19" x14ac:dyDescent="0.2">
      <c r="I25" s="2">
        <v>14</v>
      </c>
    </row>
    <row r="26" spans="1:19" x14ac:dyDescent="0.2">
      <c r="A26" s="52" t="s">
        <v>7</v>
      </c>
      <c r="B26" s="44"/>
      <c r="C26" s="53"/>
      <c r="D26" s="57"/>
      <c r="I26" s="2">
        <v>15</v>
      </c>
      <c r="N26" s="8" t="s">
        <v>32</v>
      </c>
      <c r="O26" s="9" t="s">
        <v>33</v>
      </c>
    </row>
    <row r="27" spans="1:19" x14ac:dyDescent="0.2">
      <c r="A27" s="44"/>
      <c r="B27" s="44"/>
      <c r="C27" s="53"/>
      <c r="D27" s="58"/>
      <c r="I27" s="2" t="s">
        <v>34</v>
      </c>
      <c r="N27" s="2" t="str">
        <f>IF(C41&lt;75,"V&lt;75","V&gt;=75")</f>
        <v>V&lt;75</v>
      </c>
      <c r="O27" s="2" t="str">
        <f>IF(D41&lt;75,"V&lt;75","V&gt;=75")</f>
        <v>V&lt;75</v>
      </c>
    </row>
    <row r="28" spans="1:19" x14ac:dyDescent="0.2">
      <c r="N28" s="2" t="str">
        <f>CONCATENATE(D26,D29,N27)</f>
        <v>V&lt;75</v>
      </c>
      <c r="O28" s="2" t="str">
        <f>CONCATENATE(D26,D29,O27)</f>
        <v>V&lt;75</v>
      </c>
    </row>
    <row r="29" spans="1:19" x14ac:dyDescent="0.2">
      <c r="A29" s="52" t="s">
        <v>9</v>
      </c>
      <c r="B29" s="44"/>
      <c r="C29" s="53"/>
      <c r="D29" s="57"/>
    </row>
    <row r="30" spans="1:19" x14ac:dyDescent="0.2">
      <c r="A30" s="44"/>
      <c r="B30" s="44"/>
      <c r="C30" s="53"/>
      <c r="D30" s="58"/>
      <c r="N30" s="10">
        <f>IF($N$28="≤0,2cortaV&lt;75",1,0)</f>
        <v>0</v>
      </c>
      <c r="O30" s="11">
        <f>IF($N$28="≤0,2cortaV&gt;=75",1,0)</f>
        <v>0</v>
      </c>
      <c r="P30" s="11">
        <f>IF($N$28="≤0,2mediaV&lt;75",0.95,0)</f>
        <v>0</v>
      </c>
      <c r="Q30" s="11">
        <f>IF($N$28="≤0,2mediaV&gt;=75",0.95,0)</f>
        <v>0</v>
      </c>
      <c r="R30" s="11">
        <f>IF($N$28="≤0,2largaV&lt;75",0.85,0)</f>
        <v>0</v>
      </c>
      <c r="S30" s="12">
        <f>IF($N$28="≤0,2largaV&gt;=75",0.85,0)</f>
        <v>0</v>
      </c>
    </row>
    <row r="31" spans="1:19" x14ac:dyDescent="0.2">
      <c r="N31" s="6">
        <f>IF($N$28="0,5cortaV&lt;75",0.97,0)</f>
        <v>0</v>
      </c>
      <c r="O31" s="13">
        <f>IF($N$28="0,5cortaV&gt;=75",0.97,0)</f>
        <v>0</v>
      </c>
      <c r="P31" s="13">
        <f>IF($N$28="0,5mediaV&lt;75",0.92,0)</f>
        <v>0</v>
      </c>
      <c r="Q31" s="13">
        <f>IF($N$28="0,5mediaV&gt;=75",0.92,0)</f>
        <v>0</v>
      </c>
      <c r="R31" s="13">
        <f>IF($N$28="0,5largaV&lt;75",0.81,0)</f>
        <v>0</v>
      </c>
      <c r="S31" s="5">
        <f>IF($N$28="0,5largaV&gt;=75",0.81,0)</f>
        <v>0</v>
      </c>
    </row>
    <row r="32" spans="1:19" x14ac:dyDescent="0.2">
      <c r="A32" s="52" t="s">
        <v>13</v>
      </c>
      <c r="B32" s="52"/>
      <c r="C32" s="75"/>
      <c r="D32" s="57"/>
      <c r="N32" s="6">
        <f>IF($N$28="1cortaV&lt;75",0.94,0)</f>
        <v>0</v>
      </c>
      <c r="O32" s="13">
        <f>IF($N$28="1cortaV&gt;=75",0.94,0)</f>
        <v>0</v>
      </c>
      <c r="P32" s="13">
        <f>IF($N$28="1mediaV&lt;75",0.88,0)</f>
        <v>0</v>
      </c>
      <c r="Q32" s="13">
        <f>IF($N$28="1mediaV&gt;=75",0.88,0)</f>
        <v>0</v>
      </c>
      <c r="R32" s="13">
        <f>IF($N$28="1largaV&lt;75",0.75,0)</f>
        <v>0</v>
      </c>
      <c r="S32" s="5">
        <f>IF($N$28="1largaV&gt;=75",0.75,0)</f>
        <v>0</v>
      </c>
    </row>
    <row r="33" spans="1:19" x14ac:dyDescent="0.2">
      <c r="A33" s="52"/>
      <c r="B33" s="52"/>
      <c r="C33" s="75"/>
      <c r="D33" s="58"/>
      <c r="N33" s="6">
        <f>IF($N$28="2cortaV&lt;75",0.91,0)</f>
        <v>0</v>
      </c>
      <c r="O33" s="13">
        <f>IF($N$28="2cortaV&gt;=75",0.91,0)</f>
        <v>0</v>
      </c>
      <c r="P33" s="13">
        <f>IF($N$28="2mediaV&lt;75",0.84,0)</f>
        <v>0</v>
      </c>
      <c r="Q33" s="13">
        <f>IF($N$28="2mediaV&gt;=75",0.84,0)</f>
        <v>0</v>
      </c>
      <c r="R33" s="13">
        <f>IF($N$28="2largaV&lt;75",0.65,0)</f>
        <v>0</v>
      </c>
      <c r="S33" s="5">
        <f>IF($N$28="2largaV&gt;=75",0.65,0)</f>
        <v>0</v>
      </c>
    </row>
    <row r="34" spans="1:19" x14ac:dyDescent="0.2">
      <c r="N34" s="6">
        <f>IF($N$28="3cortaV&lt;75",0.88,0)</f>
        <v>0</v>
      </c>
      <c r="O34" s="13">
        <f>IF($N$28="3cortaV&gt;=75",0.88,0)</f>
        <v>0</v>
      </c>
      <c r="P34" s="13">
        <f>IF($N$28="3mediaV&lt;75",0.79,0)</f>
        <v>0</v>
      </c>
      <c r="Q34" s="13">
        <f>IF($N$28="3mediaV&gt;=75",0.79,0)</f>
        <v>0</v>
      </c>
      <c r="R34" s="13">
        <f>IF($N$28="3largaV&lt;75",0.55,0)</f>
        <v>0</v>
      </c>
      <c r="S34" s="5">
        <f>IF($N$28="3largaV&gt;=75",0.55,0)</f>
        <v>0</v>
      </c>
    </row>
    <row r="35" spans="1:19" x14ac:dyDescent="0.2">
      <c r="A35" s="52" t="s">
        <v>52</v>
      </c>
      <c r="B35" s="44"/>
      <c r="C35" s="53"/>
      <c r="D35" s="76"/>
      <c r="N35" s="6">
        <f>IF($N$28="4cortaV&lt;75",0.84,0)</f>
        <v>0</v>
      </c>
      <c r="O35" s="13">
        <f>IF($N$28="4cortaV&gt;=75",0.84,0)</f>
        <v>0</v>
      </c>
      <c r="P35" s="13">
        <f>IF($N$28="4mediaV&lt;75",0.72,0)</f>
        <v>0</v>
      </c>
      <c r="Q35" s="13">
        <f>IF($N$28="4mediaV&gt;=75",0.72,0)</f>
        <v>0</v>
      </c>
      <c r="R35" s="13">
        <f>IF($N$28="4largaV&lt;75",0.45,0)</f>
        <v>0</v>
      </c>
      <c r="S35" s="5">
        <f>IF($N$28="4largaV&gt;=75",0.45,0)</f>
        <v>0</v>
      </c>
    </row>
    <row r="36" spans="1:19" ht="22.5" customHeight="1" x14ac:dyDescent="0.2">
      <c r="A36" s="44"/>
      <c r="B36" s="44"/>
      <c r="C36" s="53"/>
      <c r="D36" s="77"/>
      <c r="N36" s="6">
        <f>IF($N$28="5cortaV&lt;75",0.8,0)</f>
        <v>0</v>
      </c>
      <c r="O36" s="13">
        <f>IF($N$28="5cortaV&gt;=75",0.8,0)</f>
        <v>0</v>
      </c>
      <c r="P36" s="13">
        <f>IF($N$28="5mediaV&lt;75",0.6,0)</f>
        <v>0</v>
      </c>
      <c r="Q36" s="13">
        <f>IF($N$28="5mediaV&gt;=75",0.6,0)</f>
        <v>0</v>
      </c>
      <c r="R36" s="13">
        <f>IF($N$28="5largaV&lt;75",0.35,0)</f>
        <v>0</v>
      </c>
      <c r="S36" s="5">
        <f>IF($N$28="5largaV&gt;=75",0.35,0)</f>
        <v>0</v>
      </c>
    </row>
    <row r="37" spans="1:19" ht="12.75" customHeight="1" x14ac:dyDescent="0.2">
      <c r="N37" s="6">
        <f>IF($N$28="6cortaV&lt;75",0.75,0)</f>
        <v>0</v>
      </c>
      <c r="O37" s="13">
        <f>IF($N$28="6cortaV&gt;=75",0.75,0)</f>
        <v>0</v>
      </c>
      <c r="P37" s="13">
        <f>IF($N$28="6mediaV&lt;75",0.5,0)</f>
        <v>0</v>
      </c>
      <c r="Q37" s="13">
        <f>IF($N$28="6mediaV&gt;=75",0.5,0)</f>
        <v>0</v>
      </c>
      <c r="R37" s="13">
        <f>IF($N$28="6largaV&lt;75",0.27,0)</f>
        <v>0</v>
      </c>
      <c r="S37" s="5">
        <f>IF($N$28="6largaV&gt;=75",0.35,0)</f>
        <v>0</v>
      </c>
    </row>
    <row r="38" spans="1:19" ht="12.75" customHeight="1" x14ac:dyDescent="0.2">
      <c r="C38" s="3" t="s">
        <v>16</v>
      </c>
      <c r="D38" s="3" t="s">
        <v>17</v>
      </c>
      <c r="N38" s="6">
        <f>IF($N$28="7cortaV&lt;75",0.7,0)</f>
        <v>0</v>
      </c>
      <c r="O38" s="13">
        <f>IF($N$28="7cortaV&gt;=75",0.7,0)</f>
        <v>0</v>
      </c>
      <c r="P38" s="13">
        <f>IF($N$28="7mediaV&lt;75",0.42,0)</f>
        <v>0</v>
      </c>
      <c r="Q38" s="13">
        <f>IF($N$28="7mediaV&gt;=75",0.42,0)</f>
        <v>0</v>
      </c>
      <c r="R38" s="13">
        <f>IF($N$28="7largaV&lt;75",0.22,0)</f>
        <v>0</v>
      </c>
      <c r="S38" s="5">
        <f>IF($N$28="7largaV&gt;=75",0.22,0)</f>
        <v>0</v>
      </c>
    </row>
    <row r="39" spans="1:19" ht="12.75" customHeight="1" x14ac:dyDescent="0.2">
      <c r="A39" s="78" t="s">
        <v>38</v>
      </c>
      <c r="B39" s="79"/>
      <c r="C39" s="54"/>
      <c r="D39" s="54"/>
      <c r="N39" s="6">
        <f>IF($N$28="8cortaV&lt;75",0.6,0)</f>
        <v>0</v>
      </c>
      <c r="O39" s="13">
        <f>IF($N$28="8cortaV&gt;=75",0.6,0)</f>
        <v>0</v>
      </c>
      <c r="P39" s="13">
        <f>IF($N$28="8mediaV&lt;75",0.35,0)</f>
        <v>0</v>
      </c>
      <c r="Q39" s="13">
        <f>IF($N$28="8mediaV&gt;=75",0.35,0)</f>
        <v>0</v>
      </c>
      <c r="R39" s="13">
        <f>IF($N$28="8largaV&lt;75",0.18,0)</f>
        <v>0</v>
      </c>
      <c r="S39" s="5">
        <f>IF($N$28="8largaV&gt;=75",0.18,0)</f>
        <v>0</v>
      </c>
    </row>
    <row r="40" spans="1:19" ht="12.75" customHeight="1" x14ac:dyDescent="0.2">
      <c r="A40" s="80"/>
      <c r="B40" s="81"/>
      <c r="C40" s="55"/>
      <c r="D40" s="55"/>
      <c r="N40" s="6">
        <f>IF($N$28="9cortaV&lt;75",0.52,0)</f>
        <v>0</v>
      </c>
      <c r="O40" s="13">
        <f>IF($N$28="9cortaV&gt;=75",0.52,0)</f>
        <v>0</v>
      </c>
      <c r="P40" s="13">
        <f>IF($N$28="9mediaV&lt;75",0.3,0)</f>
        <v>0</v>
      </c>
      <c r="Q40" s="13">
        <f>IF($N$28="9mediaV&gt;=75",0.3,0)</f>
        <v>0</v>
      </c>
      <c r="R40" s="13">
        <f>IF($N$28="9largaV&lt;75",0,0)</f>
        <v>0</v>
      </c>
      <c r="S40" s="5">
        <f>IF($N$28="9largaV&gt;=75",0.15,0)</f>
        <v>0</v>
      </c>
    </row>
    <row r="41" spans="1:19" ht="12.75" customHeight="1" x14ac:dyDescent="0.2">
      <c r="A41" s="82" t="s">
        <v>39</v>
      </c>
      <c r="B41" s="83"/>
      <c r="C41" s="57"/>
      <c r="D41" s="57"/>
      <c r="N41" s="6">
        <f>IF($N$28="10cortaV&lt;75",0.45,0)</f>
        <v>0</v>
      </c>
      <c r="O41" s="13">
        <f>IF($N$28="10cortaV&gt;=75",0.45,0)</f>
        <v>0</v>
      </c>
      <c r="P41" s="13">
        <f>IF($N$28="10mediaV&lt;75",0.26,0)</f>
        <v>0</v>
      </c>
      <c r="Q41" s="13">
        <f>IF($N$28="10mediaV&gt;=75",0.26,0)</f>
        <v>0</v>
      </c>
      <c r="R41" s="13">
        <f>IF($N$28="10largaV&lt;75",0,0)</f>
        <v>0</v>
      </c>
      <c r="S41" s="5">
        <f>IF($N$28="10largaV&gt;=75",0.13,0)</f>
        <v>0</v>
      </c>
    </row>
    <row r="42" spans="1:19" ht="12.75" customHeight="1" x14ac:dyDescent="0.2">
      <c r="A42" s="84"/>
      <c r="B42" s="85"/>
      <c r="C42" s="58"/>
      <c r="D42" s="58"/>
      <c r="N42" s="6">
        <f>IF($N$28="11cortaV&lt;75",0.41,0)</f>
        <v>0</v>
      </c>
      <c r="O42" s="13">
        <f>IF($N$28="11cortaV&gt;=75",0.41,0)</f>
        <v>0</v>
      </c>
      <c r="P42" s="13">
        <f>IF($N$28="11mediaV&lt;75",0,0)</f>
        <v>0</v>
      </c>
      <c r="Q42" s="13">
        <f>IF($N$28="11mediaV&gt;=75",0.23,0)</f>
        <v>0</v>
      </c>
      <c r="R42" s="13">
        <f>IF($N$28="11largaV&lt;75",0,0)</f>
        <v>0</v>
      </c>
      <c r="S42" s="5">
        <f>IF($N$28="11largaV&gt;=75",0,0)</f>
        <v>0</v>
      </c>
    </row>
    <row r="43" spans="1:19" ht="12.75" customHeight="1" x14ac:dyDescent="0.2">
      <c r="A43" s="82" t="s">
        <v>40</v>
      </c>
      <c r="B43" s="83"/>
      <c r="C43" s="57"/>
      <c r="D43" s="54"/>
      <c r="N43" s="6">
        <f>IF($N$28="12cortaV&lt;75",0.37,0)</f>
        <v>0</v>
      </c>
      <c r="O43" s="13">
        <f>IF($N$28="12cortaV&gt;=75",0.37,0)</f>
        <v>0</v>
      </c>
      <c r="P43" s="13">
        <f>IF($N$28="12mediaV&lt;75",0,0)</f>
        <v>0</v>
      </c>
      <c r="Q43" s="13">
        <f>IF($N$28="12mediaV&gt;=75",0.21,0)</f>
        <v>0</v>
      </c>
      <c r="R43" s="13">
        <f>IF($N$28="12largaV&lt;75",0,0)</f>
        <v>0</v>
      </c>
      <c r="S43" s="5">
        <f>IF($N$28="12largaV&gt;=75",0,0)</f>
        <v>0</v>
      </c>
    </row>
    <row r="44" spans="1:19" x14ac:dyDescent="0.2">
      <c r="A44" s="84"/>
      <c r="B44" s="85"/>
      <c r="C44" s="58"/>
      <c r="D44" s="55"/>
      <c r="N44" s="6">
        <f>IF($N$28="13cortaV&lt;75",0,0)</f>
        <v>0</v>
      </c>
      <c r="O44" s="13">
        <f>IF($N$28="13cortaV&gt;=75",0.34,0)</f>
        <v>0</v>
      </c>
      <c r="P44" s="13">
        <f>IF($N$28="13mediaV&lt;75",0,0)</f>
        <v>0</v>
      </c>
      <c r="Q44" s="13">
        <f>IF($N$28="13mediaV&gt;=75",0,0)</f>
        <v>0</v>
      </c>
      <c r="R44" s="13">
        <f>IF($N$28="13largaV&lt;75",0,0)</f>
        <v>0</v>
      </c>
      <c r="S44" s="5">
        <f>IF($N$28="13largaV&gt;=75",0,0)</f>
        <v>0</v>
      </c>
    </row>
    <row r="45" spans="1:19" x14ac:dyDescent="0.2">
      <c r="A45" s="82" t="s">
        <v>18</v>
      </c>
      <c r="B45" s="83"/>
      <c r="C45" s="57"/>
      <c r="D45" s="57"/>
      <c r="N45" s="6">
        <f>IF($N$28="14cortaV&lt;75",0,0)</f>
        <v>0</v>
      </c>
      <c r="O45" s="13">
        <f>IF($N$28="14cortaV&gt;=75",0.31,0)</f>
        <v>0</v>
      </c>
      <c r="P45" s="13">
        <f>IF($N$28="14mediaV&lt;75",0,0)</f>
        <v>0</v>
      </c>
      <c r="Q45" s="13">
        <f>IF($N$28="14mediaV&gt;=75",0,0)</f>
        <v>0</v>
      </c>
      <c r="R45" s="13">
        <f>IF($N$28="14largaV&lt;75",0,0)</f>
        <v>0</v>
      </c>
      <c r="S45" s="5">
        <f>IF($N$28="14largaV&gt;=75",0,0)</f>
        <v>0</v>
      </c>
    </row>
    <row r="46" spans="1:19" x14ac:dyDescent="0.2">
      <c r="A46" s="84"/>
      <c r="B46" s="85"/>
      <c r="C46" s="58"/>
      <c r="D46" s="58"/>
      <c r="N46" s="6">
        <f>IF($N$28="15cortaV&lt;75",0,0)</f>
        <v>0</v>
      </c>
      <c r="O46" s="13">
        <f>IF($N$28="15cortaV&gt;=75",0.28,0)</f>
        <v>0</v>
      </c>
      <c r="P46" s="13">
        <f>IF($N$28="15mediaV&lt;75",0,0)</f>
        <v>0</v>
      </c>
      <c r="Q46" s="13">
        <f>IF($N$28="15mediaV&gt;=75",0,0)</f>
        <v>0</v>
      </c>
      <c r="R46" s="13">
        <f>IF($N$28="15largaV&lt;75",0,0)</f>
        <v>0</v>
      </c>
      <c r="S46" s="5">
        <f>IF($N$28="15largaV&gt;=75",0,0)</f>
        <v>0</v>
      </c>
    </row>
    <row r="47" spans="1:19" x14ac:dyDescent="0.2">
      <c r="N47" s="14">
        <f>IF($N$28="&gt;15cortaV&lt;75",0,0)</f>
        <v>0</v>
      </c>
      <c r="O47" s="15">
        <f>IF($N$28="&gt;15cortaV&gt;=75",0,0)</f>
        <v>0</v>
      </c>
      <c r="P47" s="15">
        <f>IF($N$28="&gt;15mediaV&lt;75",0,0)</f>
        <v>0</v>
      </c>
      <c r="Q47" s="15">
        <f>IF($N$28="&gt;15mediaV&gt;=75",0,0)</f>
        <v>0</v>
      </c>
      <c r="R47" s="15">
        <f>IF($N$28="&gt;15largaV&lt;75",0,0)</f>
        <v>0</v>
      </c>
      <c r="S47" s="16">
        <f>IF($N$28="&gt;15largaV&gt;=75",0,0)</f>
        <v>0</v>
      </c>
    </row>
    <row r="48" spans="1:19" x14ac:dyDescent="0.2">
      <c r="R48" s="8"/>
      <c r="S48" s="30">
        <f>SUM(N30:S47)</f>
        <v>0</v>
      </c>
    </row>
    <row r="49" spans="14:19" x14ac:dyDescent="0.2">
      <c r="N49" s="10">
        <f>IF($O$28="≤0,2cortaV&lt;75",1,0)</f>
        <v>0</v>
      </c>
      <c r="O49" s="11">
        <f>IF($O$28="≤0,2cortaV&gt;=75",1,0)</f>
        <v>0</v>
      </c>
      <c r="P49" s="11">
        <f>IF($O$28="≤0,2mediaV&lt;75",0.95,0)</f>
        <v>0</v>
      </c>
      <c r="Q49" s="11">
        <f>IF($O$28="≤0,2mediaV&gt;=75",0.95,0)</f>
        <v>0</v>
      </c>
      <c r="R49" s="11">
        <f>IF($O$28="≤0,2largaV&lt;75",0.85,0)</f>
        <v>0</v>
      </c>
      <c r="S49" s="12">
        <f>IF($O$28="≤0,2largaV&gt;=75",0.85,0)</f>
        <v>0</v>
      </c>
    </row>
    <row r="50" spans="14:19" x14ac:dyDescent="0.2">
      <c r="N50" s="6">
        <f>IF($O$28="0,5cortaV&lt;75",0.97,0)</f>
        <v>0</v>
      </c>
      <c r="O50" s="13">
        <f>IF($O$28="0,5cortaV&gt;=75",0.97,0)</f>
        <v>0</v>
      </c>
      <c r="P50" s="13">
        <f>IF($O$28="0,5mediaV&lt;75",0.92,0)</f>
        <v>0</v>
      </c>
      <c r="Q50" s="13">
        <f>IF($O$28="0,5mediaV&gt;=75",0.92,0)</f>
        <v>0</v>
      </c>
      <c r="R50" s="13">
        <f>IF($O$28="0,5largaV&lt;75",0.81,0)</f>
        <v>0</v>
      </c>
      <c r="S50" s="5">
        <f>IF($O$28="0,5largaV&gt;=75",0.81,0)</f>
        <v>0</v>
      </c>
    </row>
    <row r="51" spans="14:19" x14ac:dyDescent="0.2">
      <c r="N51" s="6">
        <f>IF($O$28="1cortaV&lt;75",0.94,0)</f>
        <v>0</v>
      </c>
      <c r="O51" s="13">
        <f>IF($O$28="1cortaV&gt;=75",0.94,0)</f>
        <v>0</v>
      </c>
      <c r="P51" s="13">
        <f>IF($O$28="1mediaV&lt;75",0.88,0)</f>
        <v>0</v>
      </c>
      <c r="Q51" s="13">
        <f>IF($O$28="1mediaV&gt;=75",0.88,0)</f>
        <v>0</v>
      </c>
      <c r="R51" s="13">
        <f>IF($O$28="1largaV&lt;75",0.75,0)</f>
        <v>0</v>
      </c>
      <c r="S51" s="5">
        <f>IF($O$28="1largaV&gt;=75",0.75,0)</f>
        <v>0</v>
      </c>
    </row>
    <row r="52" spans="14:19" x14ac:dyDescent="0.2">
      <c r="N52" s="6">
        <f>IF($O$28="2cortaV&lt;75",0.91,0)</f>
        <v>0</v>
      </c>
      <c r="O52" s="13">
        <f>IF($O$28="2cortaV&gt;=75",0.91,0)</f>
        <v>0</v>
      </c>
      <c r="P52" s="13">
        <f>IF($O$28="2mediaV&lt;75",0.84,0)</f>
        <v>0</v>
      </c>
      <c r="Q52" s="13">
        <f>IF($O$28="2mediaV&gt;=75",0.84,0)</f>
        <v>0</v>
      </c>
      <c r="R52" s="13">
        <f>IF($O$28="2largaV&lt;75",0.65,0)</f>
        <v>0</v>
      </c>
      <c r="S52" s="5">
        <f>IF($O$28="2largaV&gt;=75",0.65,0)</f>
        <v>0</v>
      </c>
    </row>
    <row r="53" spans="14:19" x14ac:dyDescent="0.2">
      <c r="N53" s="6">
        <f>IF($O$28="3cortaV&lt;75",0.88,0)</f>
        <v>0</v>
      </c>
      <c r="O53" s="13">
        <f>IF($O$28="3cortaV&gt;=75",0.88,0)</f>
        <v>0</v>
      </c>
      <c r="P53" s="13">
        <f>IF($O$28="3mediaV&lt;75",0.79,0)</f>
        <v>0</v>
      </c>
      <c r="Q53" s="13">
        <f>IF($O$28="3mediaV&gt;=75",0.79,0)</f>
        <v>0</v>
      </c>
      <c r="R53" s="13">
        <f>IF($O$28="3largaV&lt;75",0.55,0)</f>
        <v>0</v>
      </c>
      <c r="S53" s="5">
        <f>IF($O$28="3largaV&gt;=75",0.55,0)</f>
        <v>0</v>
      </c>
    </row>
    <row r="54" spans="14:19" x14ac:dyDescent="0.2">
      <c r="N54" s="6">
        <f>IF($O$28="4cortaV&lt;75",0.84,0)</f>
        <v>0</v>
      </c>
      <c r="O54" s="13">
        <f>IF($O$28="4cortaV&gt;=75",0.84,0)</f>
        <v>0</v>
      </c>
      <c r="P54" s="13">
        <f>IF($O$28="4mediaV&lt;75",0.72,0)</f>
        <v>0</v>
      </c>
      <c r="Q54" s="13">
        <f>IF($O$28="4mediaV&gt;=75",0.72,0)</f>
        <v>0</v>
      </c>
      <c r="R54" s="13">
        <f>IF($O$28="4largaV&lt;75",0.45,0)</f>
        <v>0</v>
      </c>
      <c r="S54" s="5">
        <f>IF($O$28="4largaV&gt;=75",0.45,0)</f>
        <v>0</v>
      </c>
    </row>
    <row r="55" spans="14:19" x14ac:dyDescent="0.2">
      <c r="N55" s="6">
        <f>IF($O$28="5cortaV&lt;75",0.8,0)</f>
        <v>0</v>
      </c>
      <c r="O55" s="13">
        <f>IF($O$28="5cortaV&gt;=75",0.8,0)</f>
        <v>0</v>
      </c>
      <c r="P55" s="13">
        <f>IF($O$28="5mediaV&lt;75",0.6,0)</f>
        <v>0</v>
      </c>
      <c r="Q55" s="13">
        <f>IF($O$28="5mediaV&gt;=75",0.6,0)</f>
        <v>0</v>
      </c>
      <c r="R55" s="13">
        <f>IF($O$28="5largaV&lt;75",0.35,0)</f>
        <v>0</v>
      </c>
      <c r="S55" s="5">
        <f>IF($O$28="5largaV&gt;=75",0.35,0)</f>
        <v>0</v>
      </c>
    </row>
    <row r="56" spans="14:19" x14ac:dyDescent="0.2">
      <c r="N56" s="6">
        <f>IF($O$28="6cortaV&lt;75",0.75,0)</f>
        <v>0</v>
      </c>
      <c r="O56" s="13">
        <f>IF($O$28="6cortaV&gt;=75",0.75,0)</f>
        <v>0</v>
      </c>
      <c r="P56" s="13">
        <f>IF($O$28="6mediaV&lt;75",0.5,0)</f>
        <v>0</v>
      </c>
      <c r="Q56" s="13">
        <f>IF($O$28="6mediaV&gt;=75",0.5,0)</f>
        <v>0</v>
      </c>
      <c r="R56" s="13">
        <f>IF($O$28="6largaV&lt;75",0.27,0)</f>
        <v>0</v>
      </c>
      <c r="S56" s="5">
        <f>IF($O$28="6largaV&gt;=75",0.35,0)</f>
        <v>0</v>
      </c>
    </row>
    <row r="57" spans="14:19" x14ac:dyDescent="0.2">
      <c r="N57" s="6">
        <f>IF($O$28="7cortaV&lt;75",0.7,0)</f>
        <v>0</v>
      </c>
      <c r="O57" s="13">
        <f>IF($O$28="7cortaV&gt;=75",0.7,0)</f>
        <v>0</v>
      </c>
      <c r="P57" s="13">
        <f>IF($O$28="7mediaV&lt;75",0.42,0)</f>
        <v>0</v>
      </c>
      <c r="Q57" s="13">
        <f>IF($O$28="7mediaV&gt;=75",0.42,0)</f>
        <v>0</v>
      </c>
      <c r="R57" s="13">
        <f>IF($O$28="7largaV&lt;75",0.22,0)</f>
        <v>0</v>
      </c>
      <c r="S57" s="5">
        <f>IF($O$28="7largaV&gt;=75",0.22,0)</f>
        <v>0</v>
      </c>
    </row>
    <row r="58" spans="14:19" x14ac:dyDescent="0.2">
      <c r="N58" s="6">
        <f>IF($O$28="8cortaV&lt;75",0.6,0)</f>
        <v>0</v>
      </c>
      <c r="O58" s="13">
        <f>IF($O$28="8cortaV&gt;=75",0.6,0)</f>
        <v>0</v>
      </c>
      <c r="P58" s="13">
        <f>IF($O$28="8mediaV&lt;75",0.35,0)</f>
        <v>0</v>
      </c>
      <c r="Q58" s="13">
        <f>IF($O$28="8mediaV&gt;=75",0.35,0)</f>
        <v>0</v>
      </c>
      <c r="R58" s="13">
        <f>IF($O$28="8largaV&lt;75",0.18,0)</f>
        <v>0</v>
      </c>
      <c r="S58" s="5">
        <f>IF($O$28="8largaV&gt;=75",0.18,0)</f>
        <v>0</v>
      </c>
    </row>
    <row r="59" spans="14:19" x14ac:dyDescent="0.2">
      <c r="N59" s="6">
        <f>IF($O$28="9cortaV&lt;75",0.52,0)</f>
        <v>0</v>
      </c>
      <c r="O59" s="13">
        <f>IF($O$28="9cortaV&gt;=75",0.52,0)</f>
        <v>0</v>
      </c>
      <c r="P59" s="13">
        <f>IF($O$28="9mediaV&lt;75",0.3,0)</f>
        <v>0</v>
      </c>
      <c r="Q59" s="13">
        <f>IF($O$28="9mediaV&gt;=75",0.3,0)</f>
        <v>0</v>
      </c>
      <c r="R59" s="13">
        <f>IF($O$28="9largaV&lt;75",0,0)</f>
        <v>0</v>
      </c>
      <c r="S59" s="5">
        <f>IF($O$28="9largaV&gt;=75",0.15,0)</f>
        <v>0</v>
      </c>
    </row>
    <row r="60" spans="14:19" x14ac:dyDescent="0.2">
      <c r="N60" s="6">
        <f>IF($O$28="10cortaV&lt;75",0.45,0)</f>
        <v>0</v>
      </c>
      <c r="O60" s="13">
        <f>IF($O$28="10cortaV&gt;=75",0.45,0)</f>
        <v>0</v>
      </c>
      <c r="P60" s="13">
        <f>IF($O$28="10mediaV&lt;75",0.26,0)</f>
        <v>0</v>
      </c>
      <c r="Q60" s="13">
        <f>IF($O$28="10mediaV&gt;=75",0.26,0)</f>
        <v>0</v>
      </c>
      <c r="R60" s="13">
        <f>IF($O$28="10largaV&lt;75",0,0)</f>
        <v>0</v>
      </c>
      <c r="S60" s="5">
        <f>IF($O$28="10largaV&gt;=75",0.13,0)</f>
        <v>0</v>
      </c>
    </row>
    <row r="61" spans="14:19" x14ac:dyDescent="0.2">
      <c r="N61" s="6">
        <f>IF($O$28="11cortaV&lt;75",0.41,0)</f>
        <v>0</v>
      </c>
      <c r="O61" s="13">
        <f>IF($O$28="11cortaV&gt;=75",0.41,0)</f>
        <v>0</v>
      </c>
      <c r="P61" s="13">
        <f>IF($O$28="11mediaV&lt;75",0,0)</f>
        <v>0</v>
      </c>
      <c r="Q61" s="13">
        <f>IF($O$28="11mediaV&gt;=75",0.23,0)</f>
        <v>0</v>
      </c>
      <c r="R61" s="13">
        <f>IF($O$28="11largaV&lt;75",0,0)</f>
        <v>0</v>
      </c>
      <c r="S61" s="5">
        <f>IF($O$28="11largaV&gt;=75",0,0)</f>
        <v>0</v>
      </c>
    </row>
    <row r="62" spans="14:19" x14ac:dyDescent="0.2">
      <c r="N62" s="6">
        <f>IF($O$28="12cortaV&lt;75",0.37,0)</f>
        <v>0</v>
      </c>
      <c r="O62" s="13">
        <f>IF($O$28="12cortaV&gt;=75",0.37,0)</f>
        <v>0</v>
      </c>
      <c r="P62" s="13">
        <f>IF($O$28="12mediaV&lt;75",0,0)</f>
        <v>0</v>
      </c>
      <c r="Q62" s="13">
        <f>IF($O$28="12mediaV&gt;=75",0.21,0)</f>
        <v>0</v>
      </c>
      <c r="R62" s="13">
        <f>IF($O$28="12largaV&lt;75",0,0)</f>
        <v>0</v>
      </c>
      <c r="S62" s="5">
        <f>IF($O$28="12largaV&gt;=75",0,0)</f>
        <v>0</v>
      </c>
    </row>
    <row r="63" spans="14:19" x14ac:dyDescent="0.2">
      <c r="N63" s="6">
        <f>IF($O$28="13cortaV&lt;75",0,0)</f>
        <v>0</v>
      </c>
      <c r="O63" s="13">
        <f>IF($O$28="13cortaV&gt;=75",0.34,0)</f>
        <v>0</v>
      </c>
      <c r="P63" s="13">
        <f>IF($O$28="13mediaV&lt;75",0,0)</f>
        <v>0</v>
      </c>
      <c r="Q63" s="13">
        <f>IF($O$28="13mediaV&gt;=75",0,0)</f>
        <v>0</v>
      </c>
      <c r="R63" s="13">
        <f>IF($O$28="13largaV&lt;75",0,0)</f>
        <v>0</v>
      </c>
      <c r="S63" s="5">
        <f>IF($O$28="13largaV&gt;=75",0,0)</f>
        <v>0</v>
      </c>
    </row>
    <row r="64" spans="14:19" x14ac:dyDescent="0.2">
      <c r="N64" s="6">
        <f>IF($O$28="14cortaV&lt;75",0,0)</f>
        <v>0</v>
      </c>
      <c r="O64" s="13">
        <f>IF($O$28="14cortaV&gt;=75",0.31,0)</f>
        <v>0</v>
      </c>
      <c r="P64" s="13">
        <f>IF($O$28="14mediaV&lt;75",0,0)</f>
        <v>0</v>
      </c>
      <c r="Q64" s="13">
        <f>IF($O$28="14mediaV&gt;=75",0,0)</f>
        <v>0</v>
      </c>
      <c r="R64" s="13">
        <f>IF($O$28="14largaV&lt;75",0,0)</f>
        <v>0</v>
      </c>
      <c r="S64" s="5">
        <f>IF($O$28="14largaV&gt;=75",0,0)</f>
        <v>0</v>
      </c>
    </row>
    <row r="65" spans="14:19" x14ac:dyDescent="0.2">
      <c r="N65" s="6">
        <f>IF($O$28="15cortaV&lt;75",0,0)</f>
        <v>0</v>
      </c>
      <c r="O65" s="13">
        <f>IF($O$28="15cortaV&gt;=75",0.28,0)</f>
        <v>0</v>
      </c>
      <c r="P65" s="13">
        <f>IF($O$28="15mediaV&lt;75",0,0)</f>
        <v>0</v>
      </c>
      <c r="Q65" s="13">
        <f>IF($O$28="15mediaV&gt;=75",0,0)</f>
        <v>0</v>
      </c>
      <c r="R65" s="13">
        <f>IF($O$28="15largaV&lt;75",0,0)</f>
        <v>0</v>
      </c>
      <c r="S65" s="5">
        <f>IF($O$28="15largaV&gt;=75",0,0)</f>
        <v>0</v>
      </c>
    </row>
    <row r="66" spans="14:19" x14ac:dyDescent="0.2">
      <c r="N66" s="14">
        <f>IF($O$28="&gt;15cortaV&lt;75",0,0)</f>
        <v>0</v>
      </c>
      <c r="O66" s="15">
        <f>IF($O$28="&gt;15cortaV&gt;=75",0,0)</f>
        <v>0</v>
      </c>
      <c r="P66" s="15">
        <f>IF($O$28="&gt;15mediaV&lt;75",0,0)</f>
        <v>0</v>
      </c>
      <c r="Q66" s="15">
        <f>IF($O$28="&gt;15mediaV&gt;=75",0,0)</f>
        <v>0</v>
      </c>
      <c r="R66" s="15">
        <f>IF($O$28="&gt;15largaV&lt;75",0,0)</f>
        <v>0</v>
      </c>
      <c r="S66" s="16">
        <f>IF($O$28="&gt;15largaV&gt;=75",0,0)</f>
        <v>0</v>
      </c>
    </row>
    <row r="67" spans="14:19" x14ac:dyDescent="0.2">
      <c r="S67" s="31">
        <f>SUM(N49:S66)</f>
        <v>0</v>
      </c>
    </row>
    <row r="70" spans="14:19" x14ac:dyDescent="0.2">
      <c r="N70" s="17" t="s">
        <v>35</v>
      </c>
      <c r="O70" s="9" t="s">
        <v>36</v>
      </c>
    </row>
    <row r="71" spans="14:19" x14ac:dyDescent="0.2">
      <c r="N71" t="str">
        <f>CONCATENATE(C45,N27)</f>
        <v>V&lt;75</v>
      </c>
      <c r="O71" t="str">
        <f>CONCATENATE(D45,O27)</f>
        <v>V&lt;75</v>
      </c>
    </row>
    <row r="73" spans="14:19" x14ac:dyDescent="0.2">
      <c r="N73" s="10">
        <f>IF($N$71="BuenoV&lt;75",1,0)</f>
        <v>0</v>
      </c>
      <c r="O73" s="12">
        <f>IF($N$71="BuenoV&gt;=75",1,0)</f>
        <v>0</v>
      </c>
    </row>
    <row r="74" spans="14:19" x14ac:dyDescent="0.2">
      <c r="N74" s="6">
        <f>IF($N$71="RegularV&lt;75",0.95,0)</f>
        <v>0</v>
      </c>
      <c r="O74" s="5">
        <f>IF($N$71="RegularV&gt;=75",1,0)</f>
        <v>0</v>
      </c>
    </row>
    <row r="75" spans="14:19" x14ac:dyDescent="0.2">
      <c r="N75" s="14">
        <f>IF($N$71="MaloV&lt;75",0.9,0)</f>
        <v>0</v>
      </c>
      <c r="O75" s="16">
        <f>IF($N$71="MaloV&gt;=75",0.9,0)</f>
        <v>0</v>
      </c>
    </row>
    <row r="76" spans="14:19" x14ac:dyDescent="0.2">
      <c r="O76" s="32">
        <f>SUM(N73:O75)</f>
        <v>0</v>
      </c>
    </row>
    <row r="78" spans="14:19" x14ac:dyDescent="0.2">
      <c r="N78" s="10">
        <f>IF($O$71="BuenoV&lt;75",1,0)</f>
        <v>0</v>
      </c>
      <c r="O78" s="12">
        <f>IF($O$71="BuenoV&gt;=75",1,0)</f>
        <v>0</v>
      </c>
    </row>
    <row r="79" spans="14:19" x14ac:dyDescent="0.2">
      <c r="N79" s="6">
        <f>IF($O$71="RegularV&lt;75",0.95,0)</f>
        <v>0</v>
      </c>
      <c r="O79" s="5">
        <f>IF($O$71="RegularV&gt;=75",1,0)</f>
        <v>0</v>
      </c>
    </row>
    <row r="80" spans="14:19" x14ac:dyDescent="0.2">
      <c r="N80" s="14">
        <f>IF($O$71="MaloV&lt;75",0.9,0)</f>
        <v>0</v>
      </c>
      <c r="O80" s="16">
        <f>IF($O$71="MaloV&gt;=75",0.9,0)</f>
        <v>0</v>
      </c>
    </row>
    <row r="81" spans="14:15" x14ac:dyDescent="0.2">
      <c r="O81" s="31">
        <f>SUM(N78:O80)</f>
        <v>0</v>
      </c>
    </row>
    <row r="84" spans="14:15" x14ac:dyDescent="0.2">
      <c r="N84" s="34" t="s">
        <v>42</v>
      </c>
      <c r="O84" s="34" t="s">
        <v>43</v>
      </c>
    </row>
    <row r="85" spans="14:15" x14ac:dyDescent="0.2">
      <c r="N85" s="34" t="e">
        <f>PRODUCT(O20,N14,N17,N21,N24,S48,O76)</f>
        <v>#DIV/0!</v>
      </c>
      <c r="O85" s="34" t="e">
        <f>PRODUCT(O20,O14,O17,N21,O24,S67,O81)</f>
        <v>#DIV/0!</v>
      </c>
    </row>
    <row r="87" spans="14:15" x14ac:dyDescent="0.2">
      <c r="N87" s="34" t="s">
        <v>44</v>
      </c>
      <c r="O87" s="34" t="s">
        <v>45</v>
      </c>
    </row>
    <row r="88" spans="14:15" x14ac:dyDescent="0.2">
      <c r="N88" s="34" t="e">
        <f>D23/N85</f>
        <v>#DIV/0!</v>
      </c>
      <c r="O88" s="34" t="e">
        <f>D23/O85</f>
        <v>#DIV/0!</v>
      </c>
    </row>
    <row r="90" spans="14:15" x14ac:dyDescent="0.2">
      <c r="N90" s="36" t="s">
        <v>46</v>
      </c>
    </row>
    <row r="91" spans="14:15" x14ac:dyDescent="0.2">
      <c r="N91" s="37">
        <f>IF(D32="NO",N88,0)</f>
        <v>0</v>
      </c>
    </row>
    <row r="92" spans="14:15" x14ac:dyDescent="0.2">
      <c r="N92" s="37" t="e">
        <f>IF(AND(D32="SI",N88&gt;=O88),N88,0)</f>
        <v>#DIV/0!</v>
      </c>
    </row>
    <row r="93" spans="14:15" x14ac:dyDescent="0.2">
      <c r="N93" s="37" t="e">
        <f>IF(AND(D32="SI",N88&lt;O88),O88,0)</f>
        <v>#DIV/0!</v>
      </c>
    </row>
    <row r="94" spans="14:15" x14ac:dyDescent="0.2">
      <c r="N94" s="38" t="e">
        <f>IF(D32="SI",SUM(N91:N93),N88)</f>
        <v>#DIV/0!</v>
      </c>
    </row>
  </sheetData>
  <sheetProtection password="C776" sheet="1" objects="1" scenarios="1"/>
  <mergeCells count="32">
    <mergeCell ref="D45:D46"/>
    <mergeCell ref="A39:B40"/>
    <mergeCell ref="A41:B42"/>
    <mergeCell ref="A43:B44"/>
    <mergeCell ref="A45:B46"/>
    <mergeCell ref="C39:C40"/>
    <mergeCell ref="C41:C42"/>
    <mergeCell ref="C43:C44"/>
    <mergeCell ref="C45:C46"/>
    <mergeCell ref="D41:D42"/>
    <mergeCell ref="B10:B11"/>
    <mergeCell ref="C10:D11"/>
    <mergeCell ref="A13:B14"/>
    <mergeCell ref="C13:F20"/>
    <mergeCell ref="D43:D44"/>
    <mergeCell ref="D39:D40"/>
    <mergeCell ref="A29:C30"/>
    <mergeCell ref="D29:D30"/>
    <mergeCell ref="A32:C33"/>
    <mergeCell ref="D32:D33"/>
    <mergeCell ref="A35:C36"/>
    <mergeCell ref="D35:D36"/>
    <mergeCell ref="A23:C24"/>
    <mergeCell ref="D23:D24"/>
    <mergeCell ref="E23:E24"/>
    <mergeCell ref="A26:C27"/>
    <mergeCell ref="D26:D27"/>
    <mergeCell ref="A1:G1"/>
    <mergeCell ref="B4:B5"/>
    <mergeCell ref="C4:F5"/>
    <mergeCell ref="B7:B8"/>
    <mergeCell ref="C7:F8"/>
  </mergeCells>
  <phoneticPr fontId="2" type="noConversion"/>
  <conditionalFormatting sqref="D39:D40 D43:D44">
    <cfRule type="expression" dxfId="4" priority="1" stopIfTrue="1">
      <formula>$D$32="No"</formula>
    </cfRule>
  </conditionalFormatting>
  <conditionalFormatting sqref="D45:D46">
    <cfRule type="expression" dxfId="3" priority="2" stopIfTrue="1">
      <formula>$D$32="No"</formula>
    </cfRule>
  </conditionalFormatting>
  <dataValidations count="12">
    <dataValidation type="list" showInputMessage="1" showErrorMessage="1" errorTitle="Tipo de agarre" error="Seleccionar uno de los valores de la lista desplegable." sqref="C45:C46">
      <formula1>$L$10:$L$12</formula1>
    </dataValidation>
    <dataValidation type="decimal" showInputMessage="1" showErrorMessage="1" errorTitle="Distancia horizonal" error="El valor de la distancia horizontal debe estar comprendido entre 1 y 63 cm." sqref="C39:C40">
      <formula1>1</formula1>
      <formula2>63</formula2>
    </dataValidation>
    <dataValidation type="decimal" showInputMessage="1" showErrorMessage="1" errorTitle="Distancia vertical" error="El valor de la distancia vertical debe estar comprendido entre 0 cm. (nivel del suelo) y 175 cm." sqref="C41:D42">
      <formula1>0</formula1>
      <formula2>175</formula2>
    </dataValidation>
    <dataValidation type="decimal" showInputMessage="1" showErrorMessage="1" errorTitle="Ángulo de asimetría" error="El valor del ángulo de asimetría debe estar comprendido entre 0º y 135º." sqref="C43:C44">
      <formula1>0</formula1>
      <formula2>135</formula2>
    </dataValidation>
    <dataValidation type="custom" showInputMessage="1" showErrorMessage="1" errorTitle="Control significativo y H" error="La casilla de &quot;Control significativo en el destino&quot; debe indicar Si y el valor introducido debe estar entre 1 y 63 cm." sqref="D39:D40">
      <formula1>AND($D$32="Si",$D$39&gt;=1,$D$39&lt;=63)</formula1>
    </dataValidation>
    <dataValidation type="custom" showInputMessage="1" showErrorMessage="1" errorTitle="Ángulo de asimetría en destino" error="La casilla de &quot;Control significativo en el destino&quot; debe indicar &quot;Sí&quot; y el valor del ángulo de asimetría debe estar comprendido entre 0º y 135º." sqref="D43:D44">
      <formula1>AND($D$32="Si",$D$43&gt;=0,$D$43&lt;=135)</formula1>
    </dataValidation>
    <dataValidation type="list" showInputMessage="1" showErrorMessage="1" errorTitle="Tipo de agarre en destino" error="Seleccionar uno de los valores de la lista desplegable." sqref="D45:D46">
      <formula1>$L$10:$L$12</formula1>
    </dataValidation>
    <dataValidation type="list" showInputMessage="1" showErrorMessage="1" errorTitle="Frecuencia (lev/min)" error="Elegir uno de los valores de la lista desplegable." sqref="D26:D27">
      <formula1>$I$10:$I$27</formula1>
    </dataValidation>
    <dataValidation type="decimal" showInputMessage="1" showErrorMessage="1" errorTitle="Peso de la carga" error="El valor del peso de la carga debe estar comprendido entre 3 Kg. (peso mínimo para considerar manipulación de cargas) y 25 Kg. (peso máximo que se considera aceptable en condiciones ideales de manipulación)." sqref="D23:D24">
      <formula1>3</formula1>
      <formula2>25</formula2>
    </dataValidation>
    <dataValidation type="list" showInputMessage="1" showErrorMessage="1" errorTitle="Duración de la tarea" error="Elegir uno de los valores de la lista desplegable." sqref="D29:D30">
      <formula1>$J$10:$J$12</formula1>
    </dataValidation>
    <dataValidation type="list" showInputMessage="1" showErrorMessage="1" errorTitle="¿Control en el destino?" error="Elegir Sí o No." promptTitle="Control en el destino" sqref="D32:D33">
      <formula1>$K$10:$K$11</formula1>
    </dataValidation>
    <dataValidation type="list" showInputMessage="1" showErrorMessage="1" errorTitle="Población a proteger" error="Elegir uno de los valores de la lista desplegable." sqref="D35:D36">
      <formula1>$M$10:$M$11</formula1>
    </dataValidation>
  </dataValidations>
  <pageMargins left="0.75" right="0.75" top="1" bottom="1" header="0" footer="0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autoPageBreaks="0"/>
  </sheetPr>
  <dimension ref="A1:G53"/>
  <sheetViews>
    <sheetView showGridLines="0" showRowColHeaders="0" zoomScale="125" workbookViewId="0">
      <selection activeCell="E10" sqref="E10"/>
    </sheetView>
  </sheetViews>
  <sheetFormatPr baseColWidth="10" defaultRowHeight="12.75" x14ac:dyDescent="0.2"/>
  <cols>
    <col min="1" max="1" width="12.28515625" bestFit="1" customWidth="1"/>
  </cols>
  <sheetData>
    <row r="1" spans="1:7" ht="14.25" x14ac:dyDescent="0.2">
      <c r="A1" s="42" t="s">
        <v>37</v>
      </c>
      <c r="B1" s="43"/>
      <c r="C1" s="43"/>
      <c r="D1" s="43"/>
      <c r="E1" s="43"/>
      <c r="F1" s="43"/>
      <c r="G1" s="43"/>
    </row>
    <row r="4" spans="1:7" x14ac:dyDescent="0.2">
      <c r="B4" s="92" t="str">
        <f>CONCATENATE("Peso de la carga ",'HOJA DE DATOS'!D23," Kg.")</f>
        <v>Peso de la carga  Kg.</v>
      </c>
      <c r="C4" s="92"/>
      <c r="D4" s="92"/>
      <c r="E4" s="92"/>
    </row>
    <row r="5" spans="1:7" x14ac:dyDescent="0.2">
      <c r="B5" s="104" t="str">
        <f>CONCATENATE("Frecuencia ",'HOJA DE DATOS'!D26," lev/min.")</f>
        <v>Frecuencia  lev/min.</v>
      </c>
      <c r="C5" s="104"/>
      <c r="D5" s="104"/>
      <c r="E5" s="104"/>
    </row>
    <row r="6" spans="1:7" x14ac:dyDescent="0.2">
      <c r="B6" s="104" t="str">
        <f>CONCATENATE("Tarea de ",'HOJA DE DATOS'!D29," duración.")</f>
        <v>Tarea de  duración.</v>
      </c>
      <c r="C6" s="104"/>
      <c r="D6" s="104"/>
      <c r="E6" s="104"/>
    </row>
    <row r="7" spans="1:7" x14ac:dyDescent="0.2">
      <c r="B7" s="104" t="str">
        <f>IF('HOJA DE DATOS'!D32="Si","Hay control significativo en el destino.","No hay control significativo en el destino.")</f>
        <v>No hay control significativo en el destino.</v>
      </c>
      <c r="C7" s="104"/>
      <c r="D7" s="104"/>
      <c r="E7" s="104"/>
    </row>
    <row r="8" spans="1:7" x14ac:dyDescent="0.2">
      <c r="B8" s="104" t="str">
        <f>CONCATENATE("Población: ",'HOJA DE DATOS'!D35)</f>
        <v xml:space="preserve">Población: </v>
      </c>
      <c r="C8" s="104"/>
      <c r="D8" s="104"/>
      <c r="E8" s="104"/>
    </row>
    <row r="9" spans="1:7" x14ac:dyDescent="0.2">
      <c r="E9" s="21"/>
    </row>
    <row r="10" spans="1:7" x14ac:dyDescent="0.2">
      <c r="B10" s="21"/>
      <c r="C10" s="21"/>
      <c r="D10" s="22" t="s">
        <v>16</v>
      </c>
      <c r="E10" s="22" t="s">
        <v>17</v>
      </c>
    </row>
    <row r="11" spans="1:7" x14ac:dyDescent="0.2">
      <c r="B11" s="86" t="s">
        <v>22</v>
      </c>
      <c r="C11" s="87"/>
      <c r="D11" s="23" t="str">
        <f>CONCATENATE('HOJA DE DATOS'!C39," cm.")</f>
        <v xml:space="preserve"> cm.</v>
      </c>
      <c r="E11" s="23" t="str">
        <f>IF('HOJA DE DATOS'!D32="Si",CONCATENATE('HOJA DE DATOS'!D39," cm."),"")</f>
        <v/>
      </c>
    </row>
    <row r="12" spans="1:7" x14ac:dyDescent="0.2">
      <c r="B12" s="106" t="s">
        <v>23</v>
      </c>
      <c r="C12" s="106"/>
      <c r="D12" s="23" t="str">
        <f>CONCATENATE('HOJA DE DATOS'!C41," cm.")</f>
        <v xml:space="preserve"> cm.</v>
      </c>
      <c r="E12" s="23" t="str">
        <f>CONCATENATE('HOJA DE DATOS'!D41," cm.")</f>
        <v xml:space="preserve"> cm.</v>
      </c>
    </row>
    <row r="13" spans="1:7" x14ac:dyDescent="0.2">
      <c r="B13" s="106" t="s">
        <v>24</v>
      </c>
      <c r="C13" s="106"/>
      <c r="D13" s="23" t="str">
        <f>CONCATENATE('HOJA DE DATOS'!C43," º")</f>
        <v xml:space="preserve"> º</v>
      </c>
      <c r="E13" s="23" t="str">
        <f>IF('HOJA DE DATOS'!D32="Si",CONCATENATE('HOJA DE DATOS'!D43," º"),"")</f>
        <v/>
      </c>
    </row>
    <row r="14" spans="1:7" x14ac:dyDescent="0.2">
      <c r="B14" s="105" t="s">
        <v>18</v>
      </c>
      <c r="C14" s="105"/>
      <c r="D14" s="23" t="str">
        <f>CONCATENATE('HOJA DE DATOS'!C45)</f>
        <v/>
      </c>
      <c r="E14" s="23" t="str">
        <f>IF('HOJA DE DATOS'!D32="Si",CONCATENATE('HOJA DE DATOS'!D45),"")</f>
        <v/>
      </c>
    </row>
    <row r="16" spans="1:7" ht="14.25" x14ac:dyDescent="0.2">
      <c r="A16" s="101" t="s">
        <v>55</v>
      </c>
      <c r="B16" s="102"/>
      <c r="C16" s="102"/>
      <c r="D16" s="102"/>
      <c r="E16" s="102"/>
      <c r="F16" s="102"/>
      <c r="G16" s="102"/>
    </row>
    <row r="17" spans="1:7" ht="14.25" x14ac:dyDescent="0.2">
      <c r="A17" s="24"/>
      <c r="B17" s="25"/>
      <c r="C17" s="25"/>
      <c r="D17" s="25"/>
      <c r="E17" s="25"/>
      <c r="F17" s="25"/>
      <c r="G17" s="25"/>
    </row>
    <row r="18" spans="1:7" ht="14.25" x14ac:dyDescent="0.2">
      <c r="A18" s="24"/>
      <c r="B18" s="25"/>
      <c r="C18" s="25"/>
      <c r="D18" s="25"/>
      <c r="E18" s="25"/>
      <c r="F18" s="25"/>
      <c r="G18" s="25"/>
    </row>
    <row r="19" spans="1:7" ht="14.25" x14ac:dyDescent="0.2">
      <c r="A19" s="24"/>
      <c r="B19" s="25"/>
      <c r="C19" s="25"/>
      <c r="D19" s="25"/>
      <c r="E19" s="25"/>
      <c r="F19" s="25"/>
      <c r="G19" s="25"/>
    </row>
    <row r="20" spans="1:7" ht="14.25" x14ac:dyDescent="0.2">
      <c r="A20" s="24"/>
      <c r="B20" s="25"/>
      <c r="C20" s="25"/>
      <c r="D20" s="25"/>
      <c r="E20" s="25"/>
      <c r="F20" s="25"/>
      <c r="G20" s="25"/>
    </row>
    <row r="21" spans="1:7" ht="14.25" x14ac:dyDescent="0.2">
      <c r="A21" s="24"/>
      <c r="B21" s="25"/>
      <c r="C21" s="25"/>
      <c r="D21" s="25"/>
      <c r="E21" s="25"/>
      <c r="F21" s="25"/>
      <c r="G21" s="25"/>
    </row>
    <row r="22" spans="1:7" ht="14.25" x14ac:dyDescent="0.2">
      <c r="A22" s="24"/>
      <c r="B22" s="25"/>
      <c r="C22" s="25"/>
      <c r="D22" s="25"/>
      <c r="E22" s="25"/>
      <c r="F22" s="25"/>
      <c r="G22" s="25"/>
    </row>
    <row r="23" spans="1:7" ht="14.25" x14ac:dyDescent="0.2">
      <c r="A23" s="24"/>
      <c r="B23" s="25"/>
      <c r="C23" s="25"/>
      <c r="D23" s="25"/>
      <c r="E23" s="25"/>
      <c r="F23" s="25"/>
      <c r="G23" s="25"/>
    </row>
    <row r="24" spans="1:7" ht="14.25" x14ac:dyDescent="0.2">
      <c r="A24" s="24"/>
      <c r="B24" s="25"/>
      <c r="C24" s="25"/>
      <c r="D24" s="25"/>
      <c r="E24" s="25"/>
      <c r="F24" s="25"/>
      <c r="G24" s="25"/>
    </row>
    <row r="25" spans="1:7" ht="14.25" x14ac:dyDescent="0.2">
      <c r="A25" s="24"/>
      <c r="B25" s="25"/>
      <c r="C25" s="25"/>
      <c r="D25" s="25"/>
      <c r="E25" s="25"/>
      <c r="F25" s="25"/>
      <c r="G25" s="25"/>
    </row>
    <row r="26" spans="1:7" ht="14.25" x14ac:dyDescent="0.2">
      <c r="A26" s="24"/>
      <c r="B26" s="25"/>
      <c r="C26" s="25"/>
      <c r="D26" s="25"/>
      <c r="E26" s="25"/>
      <c r="F26" s="25"/>
      <c r="G26" s="25"/>
    </row>
    <row r="28" spans="1:7" x14ac:dyDescent="0.2">
      <c r="A28" s="92" t="s">
        <v>41</v>
      </c>
      <c r="B28" s="93"/>
      <c r="C28" s="93"/>
      <c r="D28" s="93"/>
      <c r="E28" s="93"/>
      <c r="F28" s="93"/>
      <c r="G28" s="93"/>
    </row>
    <row r="29" spans="1:7" x14ac:dyDescent="0.2">
      <c r="A29" s="100" t="e">
        <f>CONCATENATE("LPR origen   =   ",'HOJA DE DATOS'!O20,"     x   ",TEXT('HOJA DE DATOS'!N14,"0,00"),"   x   ",TEXT('HOJA DE DATOS'!N17,"0,00"),"    x    ",TEXT('HOJA DE DATOS'!N21,"0,00"),"  x     ",TEXT('HOJA DE DATOS'!N24,"0,00"),"  x   ",TEXT('HOJA DE DATOS'!S48,"0,00"),"   x    ",TEXT('HOJA DE DATOS'!O76,"0,00"),"  ")</f>
        <v>#DIV/0!</v>
      </c>
      <c r="B29" s="100"/>
      <c r="C29" s="100"/>
      <c r="D29" s="100"/>
      <c r="E29" s="100"/>
      <c r="F29" s="100"/>
      <c r="G29" s="35" t="e">
        <f>CONCATENATE("= ",TEXT('HOJA DE DATOS'!N85,"0,00")," Kg.")</f>
        <v>#DIV/0!</v>
      </c>
    </row>
    <row r="30" spans="1:7" x14ac:dyDescent="0.2">
      <c r="A30" s="103" t="str">
        <f>IF('HOJA DE DATOS'!D32="Si",CONCATENATE("LPR destino  =   ",'HOJA DE DATOS'!O20,"    x   ",TEXT('HOJA DE DATOS'!O14,"0,00"),"   x   ",TEXT('HOJA DE DATOS'!O17,"0,00"),"    x     ",TEXT('HOJA DE DATOS'!N21,"0,00"),"  x     ",TEXT('HOJA DE DATOS'!O24,"0,00"),"  x   ",TEXT('HOJA DE DATOS'!S67,"0,00"),"   x   ",TEXT('HOJA DE DATOS'!O81,"0,00"),"  "),"LPR destino =   No se da control significativo en el destino.")</f>
        <v>LPR destino =   No se da control significativo en el destino.</v>
      </c>
      <c r="B30" s="103"/>
      <c r="C30" s="103"/>
      <c r="D30" s="103"/>
      <c r="E30" s="103"/>
      <c r="F30" s="103"/>
      <c r="G30" s="35" t="str">
        <f>IF('HOJA DE DATOS'!D32="Si",CONCATENATE("= ",TEXT('HOJA DE DATOS'!O85,"0,00")," Kg."),"")</f>
        <v/>
      </c>
    </row>
    <row r="32" spans="1:7" ht="14.25" x14ac:dyDescent="0.2">
      <c r="A32" s="101" t="s">
        <v>56</v>
      </c>
      <c r="B32" s="102"/>
      <c r="C32" s="102"/>
      <c r="D32" s="102"/>
      <c r="E32" s="102"/>
      <c r="F32" s="102"/>
      <c r="G32" s="102"/>
    </row>
    <row r="33" spans="1:7" ht="12.75" customHeight="1" x14ac:dyDescent="0.2">
      <c r="G33" s="26"/>
    </row>
    <row r="34" spans="1:7" ht="12.75" customHeight="1" x14ac:dyDescent="0.2">
      <c r="A34" s="92" t="s">
        <v>48</v>
      </c>
      <c r="B34" s="93"/>
      <c r="C34" s="93"/>
      <c r="D34" s="93"/>
      <c r="E34" s="93"/>
      <c r="F34" s="93"/>
      <c r="G34" s="93"/>
    </row>
    <row r="35" spans="1:7" ht="12.75" customHeight="1" x14ac:dyDescent="0.2"/>
    <row r="36" spans="1:7" ht="12.75" customHeight="1" x14ac:dyDescent="0.2">
      <c r="A36" s="39" t="s">
        <v>47</v>
      </c>
      <c r="B36" s="40" t="str">
        <f>IF(ISERROR('HOJA DE DATOS'!N94),"-",'HOJA DE DATOS'!N94)</f>
        <v>-</v>
      </c>
      <c r="D36" s="94" t="s">
        <v>49</v>
      </c>
      <c r="E36" s="95"/>
      <c r="F36" s="96"/>
    </row>
    <row r="37" spans="1:7" ht="12.75" customHeight="1" x14ac:dyDescent="0.2">
      <c r="D37" s="97" t="s">
        <v>50</v>
      </c>
      <c r="E37" s="98"/>
      <c r="F37" s="99"/>
    </row>
    <row r="38" spans="1:7" ht="12.75" customHeight="1" x14ac:dyDescent="0.2">
      <c r="D38" s="89" t="s">
        <v>51</v>
      </c>
      <c r="E38" s="90"/>
      <c r="F38" s="91"/>
    </row>
    <row r="39" spans="1:7" ht="12.75" customHeight="1" x14ac:dyDescent="0.2"/>
    <row r="41" spans="1:7" ht="14.25" x14ac:dyDescent="0.2">
      <c r="A41" s="101" t="s">
        <v>57</v>
      </c>
      <c r="B41" s="102"/>
      <c r="C41" s="102"/>
      <c r="D41" s="102"/>
      <c r="E41" s="102"/>
      <c r="F41" s="102"/>
      <c r="G41" s="102"/>
    </row>
    <row r="43" spans="1:7" x14ac:dyDescent="0.2">
      <c r="B43" s="88" t="str">
        <f>IF(ISERROR('HOJA DE DATOS'!N94),"La tarea debe ser modificada.",IF('HOJA DE DATOS'!N94&lt;=1,"Para la mayoría de la población trabajadora sana no debe suponer un riesgo de lesión la realización de este tipo de tareas.",IF(AND('HOJA DE DATOS'!N94&gt;1,'HOJA DE DATOS'!N94&lt;1.6,'HOJA DE DATOS'!O20=15,'HOJA DE DATOS'!D23&gt;15),"La tarea debe rediseñarse para reducir el riesgo. El peso máximo recomendado en condiciones ideales de levantamiento para este tipo de población no debe superar los 15 Kg.",IF('HOJA DE DATOS'!N94&gt;=1.6,"El riesgo es inaceptable, la tarea debe ser modificada.",IF(AND('HOJA DE DATOS'!N94&gt;1,'HOJA DE DATOS'!N94&lt;1.6),"En principio la tarea debería rediseñarse para reducir el riesgo, aunque trabajadores suficientemente entrenados y con un seguimiento adecuado podrían realizar esta tarea sin que aumente significativamente el riesgo de lesiones dorsolumbares en ellos."," ")))))</f>
        <v>La tarea debe ser modificada.</v>
      </c>
      <c r="C43" s="88"/>
      <c r="D43" s="88"/>
      <c r="E43" s="88"/>
      <c r="F43" s="88"/>
    </row>
    <row r="44" spans="1:7" x14ac:dyDescent="0.2">
      <c r="B44" s="88"/>
      <c r="C44" s="88"/>
      <c r="D44" s="88"/>
      <c r="E44" s="88"/>
      <c r="F44" s="88"/>
    </row>
    <row r="45" spans="1:7" x14ac:dyDescent="0.2">
      <c r="B45" s="88"/>
      <c r="C45" s="88"/>
      <c r="D45" s="88"/>
      <c r="E45" s="88"/>
      <c r="F45" s="88"/>
    </row>
    <row r="46" spans="1:7" x14ac:dyDescent="0.2">
      <c r="B46" s="88"/>
      <c r="C46" s="88"/>
      <c r="D46" s="88"/>
      <c r="E46" s="88"/>
      <c r="F46" s="88"/>
    </row>
    <row r="47" spans="1:7" x14ac:dyDescent="0.2">
      <c r="B47" s="88"/>
      <c r="C47" s="88"/>
      <c r="D47" s="88"/>
      <c r="E47" s="88"/>
      <c r="F47" s="88"/>
    </row>
    <row r="48" spans="1:7" x14ac:dyDescent="0.2">
      <c r="B48" s="88"/>
      <c r="C48" s="88"/>
      <c r="D48" s="88"/>
      <c r="E48" s="88"/>
      <c r="F48" s="88"/>
    </row>
    <row r="49" spans="2:6" x14ac:dyDescent="0.2">
      <c r="B49" s="88"/>
      <c r="C49" s="88"/>
      <c r="D49" s="88"/>
      <c r="E49" s="88"/>
      <c r="F49" s="88"/>
    </row>
    <row r="50" spans="2:6" x14ac:dyDescent="0.2">
      <c r="B50" s="88"/>
      <c r="C50" s="88"/>
      <c r="D50" s="88"/>
      <c r="E50" s="88"/>
      <c r="F50" s="88"/>
    </row>
    <row r="51" spans="2:6" x14ac:dyDescent="0.2">
      <c r="B51" s="88"/>
      <c r="C51" s="88"/>
      <c r="D51" s="88"/>
      <c r="E51" s="88"/>
      <c r="F51" s="88"/>
    </row>
    <row r="52" spans="2:6" x14ac:dyDescent="0.2">
      <c r="B52" s="88"/>
      <c r="C52" s="88"/>
      <c r="D52" s="88"/>
      <c r="E52" s="88"/>
      <c r="F52" s="88"/>
    </row>
    <row r="53" spans="2:6" x14ac:dyDescent="0.2">
      <c r="B53" s="88"/>
      <c r="C53" s="88"/>
      <c r="D53" s="88"/>
      <c r="E53" s="88"/>
      <c r="F53" s="88"/>
    </row>
  </sheetData>
  <sheetProtection password="C776" sheet="1" objects="1" scenarios="1" selectLockedCells="1" selectUnlockedCells="1"/>
  <mergeCells count="21">
    <mergeCell ref="A1:G1"/>
    <mergeCell ref="B4:E4"/>
    <mergeCell ref="B5:E5"/>
    <mergeCell ref="A16:G16"/>
    <mergeCell ref="B14:C14"/>
    <mergeCell ref="B6:E6"/>
    <mergeCell ref="B7:E7"/>
    <mergeCell ref="B13:C13"/>
    <mergeCell ref="B12:C12"/>
    <mergeCell ref="B8:E8"/>
    <mergeCell ref="B11:C11"/>
    <mergeCell ref="B43:F53"/>
    <mergeCell ref="D38:F38"/>
    <mergeCell ref="A28:G28"/>
    <mergeCell ref="D36:F36"/>
    <mergeCell ref="D37:F37"/>
    <mergeCell ref="A29:F29"/>
    <mergeCell ref="A32:G32"/>
    <mergeCell ref="A34:G34"/>
    <mergeCell ref="A30:F30"/>
    <mergeCell ref="A41:G41"/>
  </mergeCells>
  <phoneticPr fontId="2" type="noConversion"/>
  <conditionalFormatting sqref="B36">
    <cfRule type="cellIs" dxfId="2" priority="1" stopIfTrue="1" operator="lessThanOrEqual">
      <formula>1</formula>
    </cfRule>
    <cfRule type="cellIs" dxfId="1" priority="2" stopIfTrue="1" operator="between">
      <formula>1</formula>
      <formula>1.6</formula>
    </cfRule>
    <cfRule type="cellIs" dxfId="0" priority="3" stopIfTrue="1" operator="greaterThanOrEqual">
      <formula>1.6</formula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autoPageBreaks="0"/>
  </sheetPr>
  <dimension ref="A1"/>
  <sheetViews>
    <sheetView showGridLines="0" showRowColHeaders="0" topLeftCell="A13" zoomScale="125" workbookViewId="0">
      <selection activeCell="J13" sqref="J13"/>
    </sheetView>
  </sheetViews>
  <sheetFormatPr baseColWidth="10" defaultRowHeight="12.75" x14ac:dyDescent="0.2"/>
  <sheetData/>
  <sheetProtection password="C776" sheet="1" objects="1" scenarios="1" selectLockedCells="1" selectUnlockedCells="1"/>
  <phoneticPr fontId="2" type="noConversion"/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INTRODUCCIÓN</vt:lpstr>
      <vt:lpstr>HOJA DE DATOS</vt:lpstr>
      <vt:lpstr>RESULTADOS</vt:lpstr>
      <vt:lpstr>EJEMPLO DE APLICACIÓN</vt:lpstr>
    </vt:vector>
  </TitlesOfParts>
  <Company>COMUNIDAD AUTONOMA DE LA REGIÓN DE MURCIA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Ángel Martínez García</dc:creator>
  <cp:lastModifiedBy>SANZ VALLE, GUILLERMO</cp:lastModifiedBy>
  <cp:lastPrinted>2013-04-11T10:46:48Z</cp:lastPrinted>
  <dcterms:created xsi:type="dcterms:W3CDTF">2012-01-25T11:49:37Z</dcterms:created>
  <dcterms:modified xsi:type="dcterms:W3CDTF">2018-10-17T06:57:37Z</dcterms:modified>
</cp:coreProperties>
</file>